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tables/table12.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tables/table13.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tables/table14.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Ex1.xml" ContentType="application/vnd.ms-office.chartex+xml"/>
  <Override PartName="/xl/charts/style18.xml" ContentType="application/vnd.ms-office.chartstyle+xml"/>
  <Override PartName="/xl/charts/colors18.xml" ContentType="application/vnd.ms-office.chartcolorsty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9.xml" ContentType="application/vnd.openxmlformats-officedocument.drawing+xml"/>
  <Override PartName="/xl/tables/table20.xml" ContentType="application/vnd.openxmlformats-officedocument.spreadsheetml.tab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8"/>
  <workbookPr codeName="ThisWorkbook"/>
  <mc:AlternateContent xmlns:mc="http://schemas.openxmlformats.org/markup-compatibility/2006">
    <mc:Choice Requires="x15">
      <x15ac:absPath xmlns:x15ac="http://schemas.microsoft.com/office/spreadsheetml/2010/11/ac" url="https://allovus-my.sharepoint.com/personal/jeffreyc_allovus_com/Documents/Microsoft work files/Day of Data/"/>
    </mc:Choice>
  </mc:AlternateContent>
  <xr:revisionPtr revIDLastSave="0" documentId="8_{644722BB-0480-4FAD-8D9A-75C52DC149F3}" xr6:coauthVersionLast="47" xr6:coauthVersionMax="47" xr10:uidLastSave="{00000000-0000-0000-0000-000000000000}"/>
  <bookViews>
    <workbookView xWindow="-120" yWindow="-120" windowWidth="29040" windowHeight="15720" xr2:uid="{6D9D3643-6894-4B76-B65F-511036D5A113}"/>
  </bookViews>
  <sheets>
    <sheet name="Introduction" sheetId="20" r:id="rId1"/>
    <sheet name="Contents" sheetId="45" r:id="rId2"/>
    <sheet name="Translations" sheetId="54" state="hidden" r:id="rId3"/>
    <sheet name="Tab1 Backend" sheetId="24" state="hidden" r:id="rId4"/>
    <sheet name="1.Visualizing Data" sheetId="37" r:id="rId5"/>
    <sheet name="2.Visualizing with SIZE" sheetId="38" r:id="rId6"/>
    <sheet name="3.Visualizing with COLOR" sheetId="42" r:id="rId7"/>
    <sheet name="4.Visualizing with POSITION" sheetId="43" r:id="rId8"/>
    <sheet name="6.Visualizing with creativity" sheetId="32" state="hidden" r:id="rId9"/>
    <sheet name="Backend P6" sheetId="33" state="hidden" r:id="rId10"/>
    <sheet name="Badge" sheetId="29" state="hidden" r:id="rId11"/>
    <sheet name="5.Visualizing with COMPLEXITY" sheetId="44" r:id="rId12"/>
    <sheet name="Certificate" sheetId="49" r:id="rId13"/>
    <sheet name="Extensions" sheetId="52" r:id="rId14"/>
    <sheet name="Lesson Plan" sheetId="53" r:id="rId15"/>
    <sheet name="Student Journal" sheetId="51" r:id="rId16"/>
    <sheet name="Backend P5" sheetId="1" state="hidden" r:id="rId17"/>
  </sheets>
  <definedNames>
    <definedName name="_xlchart.v1.0" hidden="1">'6.Visualizing with creativity'!$O$10:$P$17</definedName>
    <definedName name="_xlchart.v1.1" hidden="1">'6.Visualizing with creativity'!$Q$10:$Q$17</definedName>
    <definedName name="DD_Ex2_StepNum">'Backend P5'!$I$19</definedName>
    <definedName name="DD_P1_Sel">'1.Visualizing Data'!$K$4</definedName>
    <definedName name="DD_P1_SelNum">'Tab1 Backend'!$Z$7</definedName>
    <definedName name="DD_P2_Step">'2.Visualizing with SIZE'!$H$4</definedName>
    <definedName name="DD_P2_StepNum">'Tab1 Backend'!$N$7</definedName>
    <definedName name="DD_P3_Step">'3.Visualizing with COLOR'!$H$4</definedName>
    <definedName name="DD_P3_StepNum">'Tab1 Backend'!$T$7</definedName>
    <definedName name="DD_P4_Step">'4.Visualizing with POSITION'!$H$4</definedName>
    <definedName name="DD_P4_StepNum">'Tab1 Backend'!$W$7</definedName>
    <definedName name="DD_P5_Sel">'5.Visualizing with COMPLEXITY'!$I$4</definedName>
    <definedName name="DD_P5_SelNum">'Backend P5'!$I$2</definedName>
    <definedName name="DD_Q1">'1.Visualizing Data'!$P$25</definedName>
    <definedName name="DD_Q2">'2.Visualizing with SIZE'!$M$23</definedName>
    <definedName name="DD_Q3">'3.Visualizing with COLOR'!$M$23</definedName>
    <definedName name="DD_Q4">'4.Visualizing with POSITION'!$M$23</definedName>
    <definedName name="DD_Q5">'5.Visualizing with COMPLEXITY'!$N$19</definedName>
    <definedName name="DD_Q6">'5.Visualizing with COMPLEXITY'!$N$23</definedName>
    <definedName name="Languages">OFFSET(Translations!$P$2,0,0,COUNTA(Translations!$P:$P),1)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7" i="54" l="1" a="1"/>
  <c r="K477" i="54" s="1"/>
  <c r="K476" i="54" l="1" a="1"/>
  <c r="K476" i="54" s="1"/>
  <c r="B19" i="49" s="1"/>
  <c r="K475" i="54" a="1"/>
  <c r="K475" i="54" s="1"/>
  <c r="C9" i="49" s="1"/>
  <c r="K474" i="54" a="1"/>
  <c r="K474" i="54" s="1"/>
  <c r="K2" i="54" a="1"/>
  <c r="K2" i="54" s="1"/>
  <c r="K3" i="54" a="1"/>
  <c r="K3" i="54" s="1"/>
  <c r="K4" i="54" a="1"/>
  <c r="K4" i="54" s="1"/>
  <c r="C7" i="20" s="1"/>
  <c r="K5" i="54" a="1"/>
  <c r="K5" i="54" s="1"/>
  <c r="K6" i="54" a="1"/>
  <c r="K6" i="54" s="1"/>
  <c r="K7" i="54" a="1"/>
  <c r="K7" i="54" s="1"/>
  <c r="K8" i="54" a="1"/>
  <c r="K8" i="54" s="1"/>
  <c r="C21" i="20" s="1"/>
  <c r="K9" i="54" a="1"/>
  <c r="K9" i="54" s="1"/>
  <c r="K10" i="54" a="1"/>
  <c r="K10" i="54" s="1"/>
  <c r="K11" i="54" a="1"/>
  <c r="K11" i="54" s="1"/>
  <c r="N20" i="45" s="1"/>
  <c r="K12" i="54" a="1"/>
  <c r="K12" i="54" s="1"/>
  <c r="K13" i="54" a="1"/>
  <c r="K13" i="54" s="1"/>
  <c r="K14" i="54" a="1"/>
  <c r="K14" i="54" s="1"/>
  <c r="A3" i="45" s="1"/>
  <c r="K15" i="54" a="1"/>
  <c r="K15" i="54" s="1"/>
  <c r="K16" i="54" a="1"/>
  <c r="K16" i="54" s="1"/>
  <c r="K17" i="54" a="1"/>
  <c r="K17" i="54" s="1"/>
  <c r="K18" i="54" a="1"/>
  <c r="K18" i="54" s="1"/>
  <c r="D11" i="45" s="1"/>
  <c r="K19" i="54" a="1"/>
  <c r="K19" i="54" s="1"/>
  <c r="D12" i="45" s="1"/>
  <c r="C2" i="45" s="1"/>
  <c r="K20" i="54" a="1"/>
  <c r="K20" i="54" s="1"/>
  <c r="K21" i="54" a="1"/>
  <c r="K21" i="54" s="1"/>
  <c r="K22" i="54" a="1"/>
  <c r="K22" i="54" s="1"/>
  <c r="K23" i="54" a="1"/>
  <c r="K23" i="54" s="1"/>
  <c r="K24" i="54" a="1"/>
  <c r="K24" i="54" s="1"/>
  <c r="K25" i="54" a="1"/>
  <c r="K25" i="54" s="1"/>
  <c r="K26" i="54" a="1"/>
  <c r="K26" i="54" s="1"/>
  <c r="K27" i="54" a="1"/>
  <c r="K27" i="54" s="1"/>
  <c r="D19" i="45" s="1"/>
  <c r="K28" i="54" a="1"/>
  <c r="K28" i="54" s="1"/>
  <c r="K29" i="54" a="1"/>
  <c r="K29" i="54" s="1"/>
  <c r="E10" i="45" s="1"/>
  <c r="K30" i="54" a="1"/>
  <c r="K30" i="54" s="1"/>
  <c r="E11" i="45" s="1"/>
  <c r="K31" i="54" a="1"/>
  <c r="K31" i="54" s="1"/>
  <c r="E12" i="45" s="1"/>
  <c r="K32" i="54" a="1"/>
  <c r="K32" i="54" s="1"/>
  <c r="K33" i="54" a="1"/>
  <c r="K33" i="54" s="1"/>
  <c r="K34" i="54" a="1"/>
  <c r="K34" i="54" s="1"/>
  <c r="K35" i="54" a="1"/>
  <c r="K35" i="54" s="1"/>
  <c r="K36" i="54" a="1"/>
  <c r="K36" i="54" s="1"/>
  <c r="K37" i="54" a="1"/>
  <c r="K37" i="54" s="1"/>
  <c r="K38" i="54" a="1"/>
  <c r="K38" i="54" s="1"/>
  <c r="E18" i="45" s="1"/>
  <c r="K39" i="54" a="1"/>
  <c r="K39" i="54" s="1"/>
  <c r="E19" i="45" s="1"/>
  <c r="K40" i="54" a="1"/>
  <c r="K40" i="54" s="1"/>
  <c r="E20" i="45" s="1"/>
  <c r="K41" i="54" a="1"/>
  <c r="K41" i="54" s="1"/>
  <c r="H2" i="45" s="1"/>
  <c r="K42" i="54" a="1"/>
  <c r="K42" i="54" s="1"/>
  <c r="A2" i="45" s="1"/>
  <c r="K43" i="54" a="1"/>
  <c r="K43" i="54" s="1"/>
  <c r="K44" i="54" a="1"/>
  <c r="K44" i="54" s="1"/>
  <c r="I17" i="45" s="1"/>
  <c r="K45" i="54" a="1"/>
  <c r="K45" i="54" s="1"/>
  <c r="I3" i="45" s="1"/>
  <c r="K46" i="54" a="1"/>
  <c r="K46" i="54" s="1"/>
  <c r="K47" i="54" a="1"/>
  <c r="K47" i="54" s="1"/>
  <c r="K48" i="54" a="1"/>
  <c r="K48" i="54" s="1"/>
  <c r="K49" i="54" a="1"/>
  <c r="K49" i="54" s="1"/>
  <c r="K50" i="54" a="1"/>
  <c r="K50" i="54" s="1"/>
  <c r="K51" i="54" a="1"/>
  <c r="K51" i="54" s="1"/>
  <c r="K52" i="54" a="1"/>
  <c r="K52" i="54" s="1"/>
  <c r="K53" i="54" a="1"/>
  <c r="K53" i="54" s="1"/>
  <c r="K54" i="54" a="1"/>
  <c r="K54" i="54" s="1"/>
  <c r="K55" i="54" a="1"/>
  <c r="K55" i="54" s="1"/>
  <c r="K56" i="54" a="1"/>
  <c r="K56" i="54" s="1"/>
  <c r="K57" i="54" a="1"/>
  <c r="K57" i="54" s="1"/>
  <c r="K58" i="54" a="1"/>
  <c r="K58" i="54" s="1"/>
  <c r="K59" i="54" a="1"/>
  <c r="K59" i="54" s="1"/>
  <c r="K60" i="54" a="1"/>
  <c r="K60" i="54" s="1"/>
  <c r="K61" i="54" a="1"/>
  <c r="K61" i="54" s="1"/>
  <c r="K62" i="54" a="1"/>
  <c r="K62" i="54" s="1"/>
  <c r="K63" i="54" a="1"/>
  <c r="K63" i="54" s="1"/>
  <c r="K64" i="54" a="1"/>
  <c r="K64" i="54" s="1"/>
  <c r="K65" i="54" a="1"/>
  <c r="K65" i="54" s="1"/>
  <c r="K66" i="54" a="1"/>
  <c r="K66" i="54" s="1"/>
  <c r="K67" i="54" a="1"/>
  <c r="K67" i="54" s="1"/>
  <c r="K68" i="54" a="1"/>
  <c r="K68" i="54" s="1"/>
  <c r="K69" i="54" a="1"/>
  <c r="K69" i="54" s="1"/>
  <c r="K70" i="54" a="1"/>
  <c r="K70" i="54" s="1"/>
  <c r="K71" i="54" a="1"/>
  <c r="K71" i="54" s="1"/>
  <c r="K72" i="54" a="1"/>
  <c r="K72" i="54" s="1"/>
  <c r="K73" i="54" a="1"/>
  <c r="K73" i="54" s="1"/>
  <c r="K74" i="54" a="1"/>
  <c r="K74" i="54" s="1"/>
  <c r="K75" i="54" a="1"/>
  <c r="K75" i="54" s="1"/>
  <c r="K76" i="54" a="1"/>
  <c r="K76" i="54" s="1"/>
  <c r="K77" i="54" a="1"/>
  <c r="K77" i="54" s="1"/>
  <c r="K78" i="54" a="1"/>
  <c r="K78" i="54" s="1"/>
  <c r="K79" i="54" a="1"/>
  <c r="K79" i="54" s="1"/>
  <c r="B3" i="24" s="1"/>
  <c r="K80" i="54" a="1"/>
  <c r="K80" i="54" s="1"/>
  <c r="B4" i="24" s="1"/>
  <c r="K81" i="54" a="1"/>
  <c r="K81" i="54" s="1"/>
  <c r="C3" i="24" s="1"/>
  <c r="K82" i="54" a="1"/>
  <c r="K82" i="54" s="1"/>
  <c r="C4" i="24" s="1"/>
  <c r="K83" i="54" a="1"/>
  <c r="K83" i="54" s="1"/>
  <c r="K84" i="54" a="1"/>
  <c r="K84" i="54" s="1"/>
  <c r="K85" i="54" a="1"/>
  <c r="K85" i="54" s="1"/>
  <c r="K86" i="54" a="1"/>
  <c r="K86" i="54" s="1"/>
  <c r="K87" i="54" a="1"/>
  <c r="K87" i="54" s="1"/>
  <c r="K88" i="54" a="1"/>
  <c r="K88" i="54" s="1"/>
  <c r="K89" i="54" a="1"/>
  <c r="K89" i="54" s="1"/>
  <c r="K90" i="54" a="1"/>
  <c r="K90" i="54" s="1"/>
  <c r="K91" i="54" a="1"/>
  <c r="K91" i="54" s="1"/>
  <c r="K92" i="54" a="1"/>
  <c r="K92" i="54" s="1"/>
  <c r="K93" i="54" a="1"/>
  <c r="K93" i="54" s="1"/>
  <c r="K94" i="54" a="1"/>
  <c r="K94" i="54" s="1"/>
  <c r="K95" i="54" a="1"/>
  <c r="K95" i="54" s="1"/>
  <c r="K96" i="54" a="1"/>
  <c r="K96" i="54" s="1"/>
  <c r="K97" i="54" a="1"/>
  <c r="K97" i="54" s="1"/>
  <c r="K98" i="54" a="1"/>
  <c r="K98" i="54" s="1"/>
  <c r="K99" i="54" a="1"/>
  <c r="K99" i="54" s="1"/>
  <c r="K100" i="54" a="1"/>
  <c r="K100" i="54" s="1"/>
  <c r="K101" i="54" a="1"/>
  <c r="K101" i="54" s="1"/>
  <c r="K102" i="54" a="1"/>
  <c r="K102" i="54" s="1"/>
  <c r="K103" i="54" a="1"/>
  <c r="K103" i="54" s="1"/>
  <c r="K104" i="54" a="1"/>
  <c r="K104" i="54" s="1"/>
  <c r="K105" i="54" a="1"/>
  <c r="K105" i="54" s="1"/>
  <c r="K106" i="54" a="1"/>
  <c r="K106" i="54" s="1"/>
  <c r="K107" i="54" a="1"/>
  <c r="K107" i="54" s="1"/>
  <c r="K108" i="54" a="1"/>
  <c r="K108" i="54" s="1"/>
  <c r="K109" i="54" a="1"/>
  <c r="K109" i="54" s="1"/>
  <c r="K110" i="54" a="1"/>
  <c r="K110" i="54" s="1"/>
  <c r="K111" i="54" a="1"/>
  <c r="K111" i="54" s="1"/>
  <c r="K112" i="54" a="1"/>
  <c r="K112" i="54" s="1"/>
  <c r="K113" i="54" a="1"/>
  <c r="K113" i="54" s="1"/>
  <c r="K114" i="54" a="1"/>
  <c r="K114" i="54" s="1"/>
  <c r="K115" i="54" a="1"/>
  <c r="K115" i="54" s="1"/>
  <c r="K116" i="54" a="1"/>
  <c r="K116" i="54" s="1"/>
  <c r="K117" i="54" a="1"/>
  <c r="K117" i="54" s="1"/>
  <c r="K118" i="54" a="1"/>
  <c r="K118" i="54" s="1"/>
  <c r="K119" i="54" a="1"/>
  <c r="K119" i="54" s="1"/>
  <c r="K120" i="54" a="1"/>
  <c r="K120" i="54" s="1"/>
  <c r="K121" i="54" a="1"/>
  <c r="K121" i="54" s="1"/>
  <c r="K122" i="54" a="1"/>
  <c r="K122" i="54" s="1"/>
  <c r="K123" i="54" a="1"/>
  <c r="K123" i="54" s="1"/>
  <c r="K124" i="54" a="1"/>
  <c r="K124" i="54" s="1"/>
  <c r="C2" i="24" s="1"/>
  <c r="K125" i="54" a="1"/>
  <c r="K125" i="54" s="1"/>
  <c r="K126" i="54" a="1"/>
  <c r="K126" i="54" s="1"/>
  <c r="K127" i="54" a="1"/>
  <c r="K127" i="54" s="1"/>
  <c r="K128" i="54" a="1"/>
  <c r="K128" i="54" s="1"/>
  <c r="K129" i="54" a="1"/>
  <c r="K129" i="54" s="1"/>
  <c r="K130" i="54" a="1"/>
  <c r="K130" i="54" s="1"/>
  <c r="K131" i="54" a="1"/>
  <c r="K131" i="54" s="1"/>
  <c r="K132" i="54" a="1"/>
  <c r="K132" i="54" s="1"/>
  <c r="K133" i="54" a="1"/>
  <c r="K133" i="54" s="1"/>
  <c r="K134" i="54" a="1"/>
  <c r="K134" i="54" s="1"/>
  <c r="K135" i="54" a="1"/>
  <c r="K135" i="54" s="1"/>
  <c r="K136" i="54" a="1"/>
  <c r="K136" i="54" s="1"/>
  <c r="K137" i="54" a="1"/>
  <c r="K137" i="54" s="1"/>
  <c r="K138" i="54" a="1"/>
  <c r="K138" i="54" s="1"/>
  <c r="K139" i="54" a="1"/>
  <c r="K139" i="54" s="1"/>
  <c r="K140" i="54" a="1"/>
  <c r="K140" i="54" s="1"/>
  <c r="K141" i="54" a="1"/>
  <c r="K141" i="54" s="1"/>
  <c r="K142" i="54" a="1"/>
  <c r="K142" i="54" s="1"/>
  <c r="K143" i="54" a="1"/>
  <c r="K143" i="54" s="1"/>
  <c r="K144" i="54" a="1"/>
  <c r="K144" i="54" s="1"/>
  <c r="K145" i="54" a="1"/>
  <c r="K145" i="54" s="1"/>
  <c r="K146" i="54" a="1"/>
  <c r="K146" i="54" s="1"/>
  <c r="K147" i="54" a="1"/>
  <c r="K147" i="54" s="1"/>
  <c r="K148" i="54" a="1"/>
  <c r="K148" i="54" s="1"/>
  <c r="K149" i="54" a="1"/>
  <c r="K149" i="54" s="1"/>
  <c r="K150" i="54" a="1"/>
  <c r="K150" i="54" s="1"/>
  <c r="K151" i="54" a="1"/>
  <c r="K151" i="54" s="1"/>
  <c r="K152" i="54" a="1"/>
  <c r="K152" i="54" s="1"/>
  <c r="K153" i="54" a="1"/>
  <c r="K153" i="54" s="1"/>
  <c r="K154" i="54" a="1"/>
  <c r="K154" i="54" s="1"/>
  <c r="K155" i="54" a="1"/>
  <c r="K155" i="54" s="1"/>
  <c r="K156" i="54" a="1"/>
  <c r="K156" i="54" s="1"/>
  <c r="K157" i="54" a="1"/>
  <c r="K157" i="54" s="1"/>
  <c r="K158" i="54" a="1"/>
  <c r="K158" i="54" s="1"/>
  <c r="K159" i="54" a="1"/>
  <c r="K159" i="54" s="1"/>
  <c r="K160" i="54" a="1"/>
  <c r="K160" i="54" s="1"/>
  <c r="K161" i="54" a="1"/>
  <c r="K161" i="54" s="1"/>
  <c r="K162" i="54" a="1"/>
  <c r="K162" i="54" s="1"/>
  <c r="K163" i="54" a="1"/>
  <c r="K163" i="54" s="1"/>
  <c r="K164" i="54" a="1"/>
  <c r="K164" i="54" s="1"/>
  <c r="K165" i="54" a="1"/>
  <c r="K165" i="54" s="1"/>
  <c r="K166" i="54" a="1"/>
  <c r="K166" i="54" s="1"/>
  <c r="K167" i="54" a="1"/>
  <c r="K167" i="54" s="1"/>
  <c r="K168" i="54" a="1"/>
  <c r="K168" i="54" s="1"/>
  <c r="K169" i="54" a="1"/>
  <c r="K169" i="54" s="1"/>
  <c r="K170" i="54" a="1"/>
  <c r="K170" i="54" s="1"/>
  <c r="K171" i="54" a="1"/>
  <c r="K171" i="54" s="1"/>
  <c r="K172" i="54" a="1"/>
  <c r="K172" i="54" s="1"/>
  <c r="K173" i="54" a="1"/>
  <c r="K173" i="54" s="1"/>
  <c r="K174" i="54" a="1"/>
  <c r="K174" i="54" s="1"/>
  <c r="K175" i="54" a="1"/>
  <c r="K175" i="54" s="1"/>
  <c r="K176" i="54" a="1"/>
  <c r="K176" i="54" s="1"/>
  <c r="K177" i="54" a="1"/>
  <c r="K177" i="54" s="1"/>
  <c r="K178" i="54" a="1"/>
  <c r="K178" i="54" s="1"/>
  <c r="K179" i="54" a="1"/>
  <c r="K179" i="54" s="1"/>
  <c r="K180" i="54" a="1"/>
  <c r="K180" i="54" s="1"/>
  <c r="K181" i="54" a="1"/>
  <c r="K181" i="54" s="1"/>
  <c r="K182" i="54" a="1"/>
  <c r="K182" i="54" s="1"/>
  <c r="K183" i="54" a="1"/>
  <c r="K183" i="54" s="1"/>
  <c r="K184" i="54" a="1"/>
  <c r="K184" i="54" s="1"/>
  <c r="K185" i="54" a="1"/>
  <c r="K185" i="54" s="1"/>
  <c r="K186" i="54" a="1"/>
  <c r="K186" i="54" s="1"/>
  <c r="K187" i="54" a="1"/>
  <c r="K187" i="54" s="1"/>
  <c r="K188" i="54" a="1"/>
  <c r="K188" i="54" s="1"/>
  <c r="K189" i="54" a="1"/>
  <c r="K189" i="54" s="1"/>
  <c r="K190" i="54" a="1"/>
  <c r="K190" i="54" s="1"/>
  <c r="K191" i="54" a="1"/>
  <c r="K191" i="54" s="1"/>
  <c r="K192" i="54" a="1"/>
  <c r="K192" i="54" s="1"/>
  <c r="K193" i="54" a="1"/>
  <c r="K193" i="54" s="1"/>
  <c r="K194" i="54" a="1"/>
  <c r="K194" i="54" s="1"/>
  <c r="K195" i="54" a="1"/>
  <c r="K195" i="54" s="1"/>
  <c r="K196" i="54" a="1"/>
  <c r="K196" i="54" s="1"/>
  <c r="K197" i="54" a="1"/>
  <c r="K197" i="54" s="1"/>
  <c r="K198" i="54" a="1"/>
  <c r="K198" i="54" s="1"/>
  <c r="K199" i="54" a="1"/>
  <c r="K199" i="54" s="1"/>
  <c r="K200" i="54" a="1"/>
  <c r="K200" i="54" s="1"/>
  <c r="K201" i="54" a="1"/>
  <c r="K201" i="54" s="1"/>
  <c r="K203" i="54" a="1"/>
  <c r="K203" i="54" s="1"/>
  <c r="A12" i="44" s="1"/>
  <c r="K204" i="54" a="1"/>
  <c r="K204" i="54" s="1"/>
  <c r="K205" i="54" a="1"/>
  <c r="K205" i="54" s="1"/>
  <c r="K206" i="54" a="1"/>
  <c r="K206" i="54" s="1"/>
  <c r="K207" i="54" a="1"/>
  <c r="K207" i="54" s="1"/>
  <c r="K208" i="54" a="1"/>
  <c r="K208" i="54" s="1"/>
  <c r="K209" i="54" a="1"/>
  <c r="K209" i="54" s="1"/>
  <c r="A2" i="52" s="1"/>
  <c r="K210" i="54" a="1"/>
  <c r="K210" i="54" s="1"/>
  <c r="K211" i="54" a="1"/>
  <c r="K211" i="54" s="1"/>
  <c r="N4" i="52" s="1"/>
  <c r="K212" i="54" a="1"/>
  <c r="K212" i="54" s="1"/>
  <c r="P22" i="52" s="1"/>
  <c r="K213" i="54" a="1"/>
  <c r="K213" i="54" s="1"/>
  <c r="A1" i="53" s="1"/>
  <c r="K214" i="54" a="1"/>
  <c r="K214" i="54" s="1"/>
  <c r="K215" i="54" a="1"/>
  <c r="K215" i="54" s="1"/>
  <c r="K216" i="54" a="1"/>
  <c r="K216" i="54" s="1"/>
  <c r="C9" i="53" s="1"/>
  <c r="K217" i="54" a="1"/>
  <c r="K217" i="54" s="1"/>
  <c r="K218" i="54" a="1"/>
  <c r="K218" i="54" s="1"/>
  <c r="C12" i="53" s="1"/>
  <c r="K219" i="54" a="1"/>
  <c r="K219" i="54" s="1"/>
  <c r="K220" i="54" a="1"/>
  <c r="K220" i="54" s="1"/>
  <c r="D15" i="53" s="1"/>
  <c r="K221" i="54" a="1"/>
  <c r="K221" i="54" s="1"/>
  <c r="D17" i="53" s="1"/>
  <c r="K222" i="54" a="1"/>
  <c r="K222" i="54" s="1"/>
  <c r="C20" i="53" s="1"/>
  <c r="K223" i="54" a="1"/>
  <c r="K223" i="54" s="1"/>
  <c r="K224" i="54" a="1"/>
  <c r="K224" i="54" s="1"/>
  <c r="C23" i="53" s="1"/>
  <c r="K225" i="54" a="1"/>
  <c r="K225" i="54" s="1"/>
  <c r="C24" i="53" s="1"/>
  <c r="K226" i="54" a="1"/>
  <c r="K226" i="54" s="1"/>
  <c r="K227" i="54" a="1"/>
  <c r="K227" i="54" s="1"/>
  <c r="K228" i="54" a="1"/>
  <c r="K228" i="54" s="1"/>
  <c r="K229" i="54" a="1"/>
  <c r="K229" i="54" s="1"/>
  <c r="C31" i="53" s="1"/>
  <c r="K230" i="54" a="1"/>
  <c r="K230" i="54" s="1"/>
  <c r="C32" i="53" s="1"/>
  <c r="K231" i="54" a="1"/>
  <c r="K231" i="54" s="1"/>
  <c r="C35" i="53" s="1"/>
  <c r="K232" i="54" a="1"/>
  <c r="K232" i="54" s="1"/>
  <c r="C36" i="53" s="1"/>
  <c r="K233" i="54" a="1"/>
  <c r="K233" i="54" s="1"/>
  <c r="D9" i="51" s="1"/>
  <c r="A2" i="51" s="1"/>
  <c r="K234" i="54" a="1"/>
  <c r="K234" i="54" s="1"/>
  <c r="K235" i="54" a="1"/>
  <c r="K235" i="54" s="1"/>
  <c r="D5" i="51" s="1"/>
  <c r="K236" i="54" a="1"/>
  <c r="K236" i="54" s="1"/>
  <c r="D6" i="51" s="1"/>
  <c r="K237" i="54" a="1"/>
  <c r="K237" i="54" s="1"/>
  <c r="D7" i="51" s="1"/>
  <c r="K238" i="54" a="1"/>
  <c r="K238" i="54" s="1"/>
  <c r="K239" i="54" a="1"/>
  <c r="K239" i="54" s="1"/>
  <c r="D15" i="51" s="1"/>
  <c r="K240" i="54" a="1"/>
  <c r="K240" i="54" s="1"/>
  <c r="K241" i="54" a="1"/>
  <c r="K241" i="54" s="1"/>
  <c r="D27" i="51" s="1"/>
  <c r="K242" i="54" a="1"/>
  <c r="K242" i="54" s="1"/>
  <c r="K243" i="54" a="1"/>
  <c r="K243" i="54" s="1"/>
  <c r="D34" i="51" s="1"/>
  <c r="K244" i="54" a="1"/>
  <c r="K244" i="54" s="1"/>
  <c r="K245" i="54" a="1"/>
  <c r="K245" i="54" s="1"/>
  <c r="D40" i="51" s="1"/>
  <c r="K246" i="54" a="1"/>
  <c r="K246" i="54" s="1"/>
  <c r="K247" i="54" a="1"/>
  <c r="K247" i="54" s="1"/>
  <c r="D47" i="51" s="1"/>
  <c r="K248" i="54" a="1"/>
  <c r="K248" i="54" s="1"/>
  <c r="K249" i="54" a="1"/>
  <c r="K249" i="54" s="1"/>
  <c r="K250" i="54" a="1"/>
  <c r="K250" i="54" s="1"/>
  <c r="K251" i="54" a="1"/>
  <c r="K251" i="54" s="1"/>
  <c r="D55" i="51" s="1"/>
  <c r="K252" i="54" a="1"/>
  <c r="K252" i="54" s="1"/>
  <c r="D56" i="51" s="1"/>
  <c r="K253" i="54" a="1"/>
  <c r="K253" i="54" s="1"/>
  <c r="C4" i="20" s="1"/>
  <c r="K254" i="54" a="1"/>
  <c r="K254" i="54" s="1"/>
  <c r="K255" i="54" a="1"/>
  <c r="K255" i="54" s="1"/>
  <c r="A3" i="20" s="1"/>
  <c r="K256" i="54" a="1"/>
  <c r="K256" i="54" s="1"/>
  <c r="K257" i="54" a="1"/>
  <c r="K257" i="54" s="1"/>
  <c r="A1" i="20" s="1"/>
  <c r="K258" i="54" a="1"/>
  <c r="K258" i="54" s="1"/>
  <c r="K259" i="54" a="1"/>
  <c r="K259" i="54" s="1"/>
  <c r="K260" i="54" a="1"/>
  <c r="K260" i="54" s="1"/>
  <c r="A1" i="45" s="1"/>
  <c r="K261" i="54" a="1"/>
  <c r="K261" i="54" s="1"/>
  <c r="K262" i="54" a="1"/>
  <c r="K262" i="54" s="1"/>
  <c r="K263" i="54" a="1"/>
  <c r="K263" i="54" s="1"/>
  <c r="D13" i="45" s="1"/>
  <c r="K264" i="54" a="1"/>
  <c r="K264" i="54" s="1"/>
  <c r="D14" i="45" s="1"/>
  <c r="K265" i="54" a="1"/>
  <c r="K265" i="54" s="1"/>
  <c r="D15" i="45" s="1"/>
  <c r="K266" i="54" a="1"/>
  <c r="K266" i="54" s="1"/>
  <c r="D16" i="45" s="1"/>
  <c r="K267" i="54" a="1"/>
  <c r="K267" i="54" s="1"/>
  <c r="D17" i="45" s="1"/>
  <c r="K268" i="54" a="1"/>
  <c r="K268" i="54" s="1"/>
  <c r="E13" i="45" s="1"/>
  <c r="K269" i="54" a="1"/>
  <c r="K269" i="54" s="1"/>
  <c r="E14" i="45" s="1"/>
  <c r="K270" i="54" a="1"/>
  <c r="K270" i="54" s="1"/>
  <c r="E15" i="45" s="1"/>
  <c r="K271" i="54" a="1"/>
  <c r="K271" i="54" s="1"/>
  <c r="E16" i="45" s="1"/>
  <c r="K272" i="54" a="1"/>
  <c r="K272" i="54" s="1"/>
  <c r="E17" i="45" s="1"/>
  <c r="K273" i="54" a="1"/>
  <c r="K273" i="54" s="1"/>
  <c r="K274" i="54" a="1"/>
  <c r="K274" i="54" s="1"/>
  <c r="I8" i="45" s="1"/>
  <c r="K275" i="54" a="1"/>
  <c r="K275" i="54" s="1"/>
  <c r="C2" i="53" s="1"/>
  <c r="K276" i="54" a="1"/>
  <c r="K276" i="54" s="1"/>
  <c r="C5" i="53" s="1"/>
  <c r="K277" i="54" a="1"/>
  <c r="K277" i="54" s="1"/>
  <c r="C10" i="53" s="1"/>
  <c r="K278" i="54" a="1"/>
  <c r="K278" i="54" s="1"/>
  <c r="D13" i="53" s="1"/>
  <c r="K279" i="54" a="1"/>
  <c r="K279" i="54" s="1"/>
  <c r="C21" i="53" s="1"/>
  <c r="K280" i="54" a="1"/>
  <c r="K280" i="54" s="1"/>
  <c r="C25" i="53" s="1"/>
  <c r="K281" i="54" a="1"/>
  <c r="K281" i="54" s="1"/>
  <c r="C27" i="53" s="1"/>
  <c r="K282" i="54" a="1"/>
  <c r="K282" i="54" s="1"/>
  <c r="C28" i="53" s="1"/>
  <c r="K283" i="54" a="1"/>
  <c r="K283" i="54" s="1"/>
  <c r="A3" i="51" s="1"/>
  <c r="K284" i="54" a="1"/>
  <c r="K284" i="54" s="1"/>
  <c r="D16" i="51" s="1"/>
  <c r="K285" i="54" a="1"/>
  <c r="K285" i="54" s="1"/>
  <c r="D28" i="51" s="1"/>
  <c r="K286" i="54" a="1"/>
  <c r="K286" i="54" s="1"/>
  <c r="D35" i="51" s="1"/>
  <c r="K287" i="54" a="1"/>
  <c r="K287" i="54" s="1"/>
  <c r="D41" i="51" s="1"/>
  <c r="K288" i="54" a="1"/>
  <c r="K288" i="54" s="1"/>
  <c r="D48" i="51" s="1"/>
  <c r="K289" i="54" a="1"/>
  <c r="K289" i="54" s="1"/>
  <c r="K290" i="54" a="1"/>
  <c r="K290" i="54" s="1"/>
  <c r="K291" i="54" a="1"/>
  <c r="K291" i="54" s="1"/>
  <c r="K292" i="54" a="1"/>
  <c r="K292" i="54" s="1"/>
  <c r="K293" i="54" a="1"/>
  <c r="K293" i="54" s="1"/>
  <c r="K294" i="54" a="1"/>
  <c r="K294" i="54" s="1"/>
  <c r="K295" i="54" a="1"/>
  <c r="K295" i="54" s="1"/>
  <c r="K296" i="54" a="1"/>
  <c r="K296" i="54" s="1"/>
  <c r="K297" i="54" a="1"/>
  <c r="K297" i="54" s="1"/>
  <c r="K298" i="54" a="1"/>
  <c r="K298" i="54" s="1"/>
  <c r="K299" i="54" a="1"/>
  <c r="K299" i="54" s="1"/>
  <c r="K300" i="54" a="1"/>
  <c r="K300" i="54" s="1"/>
  <c r="K301" i="54" a="1"/>
  <c r="K301" i="54" s="1"/>
  <c r="K302" i="54" a="1"/>
  <c r="K302" i="54" s="1"/>
  <c r="K303" i="54" a="1"/>
  <c r="K303" i="54" s="1"/>
  <c r="K304" i="54" a="1"/>
  <c r="K304" i="54" s="1"/>
  <c r="K305" i="54" a="1"/>
  <c r="K305" i="54" s="1"/>
  <c r="K306" i="54" a="1"/>
  <c r="K306" i="54" s="1"/>
  <c r="N9" i="24" s="1"/>
  <c r="K307" i="54" a="1"/>
  <c r="K307" i="54" s="1"/>
  <c r="N10" i="24" s="1"/>
  <c r="K308" i="54" a="1"/>
  <c r="K308" i="54" s="1"/>
  <c r="N11" i="24" s="1"/>
  <c r="K309" i="54" a="1"/>
  <c r="K309" i="54" s="1"/>
  <c r="K310" i="54" a="1"/>
  <c r="K310" i="54" s="1"/>
  <c r="O9" i="24" s="1"/>
  <c r="K311" i="54" a="1"/>
  <c r="K311" i="54" s="1"/>
  <c r="O10" i="24" s="1"/>
  <c r="K312" i="54" a="1"/>
  <c r="K312" i="54" s="1"/>
  <c r="O11" i="24" s="1"/>
  <c r="K313" i="54" a="1"/>
  <c r="K313" i="54" s="1"/>
  <c r="K314" i="54" a="1"/>
  <c r="K314" i="54" s="1"/>
  <c r="P9" i="24" s="1"/>
  <c r="K315" i="54" a="1"/>
  <c r="K315" i="54" s="1"/>
  <c r="P10" i="24" s="1"/>
  <c r="K316" i="54" a="1"/>
  <c r="K316" i="54" s="1"/>
  <c r="T9" i="24" s="1"/>
  <c r="K317" i="54" a="1"/>
  <c r="K317" i="54" s="1"/>
  <c r="T10" i="24" s="1"/>
  <c r="K318" i="54" a="1"/>
  <c r="K318" i="54" s="1"/>
  <c r="T11" i="24" s="1"/>
  <c r="K319" i="54" a="1"/>
  <c r="K319" i="54" s="1"/>
  <c r="U9" i="24" s="1"/>
  <c r="K320" i="54" a="1"/>
  <c r="K320" i="54" s="1"/>
  <c r="U10" i="24" s="1"/>
  <c r="K321" i="54" a="1"/>
  <c r="K321" i="54" s="1"/>
  <c r="U11" i="24" s="1"/>
  <c r="K322" i="54" a="1"/>
  <c r="K322" i="54" s="1"/>
  <c r="K323" i="54" a="1"/>
  <c r="K323" i="54" s="1"/>
  <c r="W10" i="24" s="1"/>
  <c r="K324" i="54" a="1"/>
  <c r="K324" i="54" s="1"/>
  <c r="W11" i="24" s="1"/>
  <c r="K325" i="54" a="1"/>
  <c r="K325" i="54" s="1"/>
  <c r="X9" i="24" s="1"/>
  <c r="K326" i="54" a="1"/>
  <c r="K326" i="54" s="1"/>
  <c r="X10" i="24" s="1"/>
  <c r="K327" i="54" a="1"/>
  <c r="K327" i="54" s="1"/>
  <c r="X11" i="24" s="1"/>
  <c r="K328" i="54" a="1"/>
  <c r="K328" i="54" s="1"/>
  <c r="Z9" i="24" s="1"/>
  <c r="K329" i="54" a="1"/>
  <c r="K329" i="54" s="1"/>
  <c r="Z10" i="24" s="1"/>
  <c r="K330" i="54" a="1"/>
  <c r="K330" i="54" s="1"/>
  <c r="Z11" i="24" s="1"/>
  <c r="K331" i="54" a="1"/>
  <c r="K331" i="54" s="1"/>
  <c r="Z12" i="24" s="1"/>
  <c r="K332" i="54" a="1"/>
  <c r="K332" i="54" s="1"/>
  <c r="Z13" i="24" s="1"/>
  <c r="K333" i="54" a="1"/>
  <c r="K333" i="54" s="1"/>
  <c r="AA9" i="24" s="1"/>
  <c r="K334" i="54" a="1"/>
  <c r="K334" i="54" s="1"/>
  <c r="AA10" i="24" s="1"/>
  <c r="K335" i="54" a="1"/>
  <c r="K335" i="54" s="1"/>
  <c r="AA11" i="24" s="1"/>
  <c r="K336" i="54" a="1"/>
  <c r="K336" i="54" s="1"/>
  <c r="AA12" i="24" s="1"/>
  <c r="K337" i="54" a="1"/>
  <c r="K337" i="54" s="1"/>
  <c r="AA13" i="24" s="1"/>
  <c r="K338" i="54" a="1"/>
  <c r="K338" i="54" s="1"/>
  <c r="AC9" i="24" s="1"/>
  <c r="K339" i="54" a="1"/>
  <c r="K339" i="54" s="1"/>
  <c r="AC10" i="24" s="1"/>
  <c r="K340" i="54" a="1"/>
  <c r="K340" i="54" s="1"/>
  <c r="AC11" i="24" s="1"/>
  <c r="K341" i="54" a="1"/>
  <c r="K341" i="54" s="1"/>
  <c r="AC12" i="24" s="1"/>
  <c r="K342" i="54" a="1"/>
  <c r="K342" i="54" s="1"/>
  <c r="AC13" i="24" s="1"/>
  <c r="K343" i="54" a="1"/>
  <c r="K343" i="54" s="1"/>
  <c r="AE10" i="24" s="1"/>
  <c r="K344" i="54" a="1"/>
  <c r="K344" i="54" s="1"/>
  <c r="AE11" i="24" s="1"/>
  <c r="K345" i="54" a="1"/>
  <c r="K345" i="54" s="1"/>
  <c r="AE12" i="24" s="1"/>
  <c r="K346" i="54" a="1"/>
  <c r="K346" i="54" s="1"/>
  <c r="AE13" i="24" s="1"/>
  <c r="K347" i="54" a="1"/>
  <c r="K347" i="54" s="1"/>
  <c r="AF10" i="24" s="1"/>
  <c r="K348" i="54" a="1"/>
  <c r="K348" i="54" s="1"/>
  <c r="AF12" i="24" s="1"/>
  <c r="K349" i="54" a="1"/>
  <c r="K349" i="54" s="1"/>
  <c r="AF13" i="24" s="1"/>
  <c r="K350" i="54" a="1"/>
  <c r="K350" i="54" s="1"/>
  <c r="K351" i="54" a="1"/>
  <c r="K351" i="54" s="1"/>
  <c r="K352" i="54" a="1"/>
  <c r="K352" i="54" s="1"/>
  <c r="K353" i="54" a="1"/>
  <c r="K353" i="54" s="1"/>
  <c r="K354" i="54" a="1"/>
  <c r="K354" i="54" s="1"/>
  <c r="K355" i="54" a="1"/>
  <c r="K355" i="54" s="1"/>
  <c r="I4" i="1" s="1"/>
  <c r="K356" i="54" a="1"/>
  <c r="K356" i="54" s="1"/>
  <c r="I5" i="1" s="1"/>
  <c r="K357" i="54" a="1"/>
  <c r="K357" i="54" s="1"/>
  <c r="I6" i="1" s="1"/>
  <c r="K358" i="54" a="1"/>
  <c r="K358" i="54" s="1"/>
  <c r="I7" i="1" s="1"/>
  <c r="K359" i="54" a="1"/>
  <c r="K359" i="54" s="1"/>
  <c r="I8" i="1" s="1"/>
  <c r="K360" i="54" a="1"/>
  <c r="K360" i="54" s="1"/>
  <c r="K361" i="54" a="1"/>
  <c r="K361" i="54" s="1"/>
  <c r="K362" i="54" a="1"/>
  <c r="K362" i="54" s="1"/>
  <c r="K363" i="54" a="1"/>
  <c r="K363" i="54" s="1"/>
  <c r="K364" i="54" a="1"/>
  <c r="K364" i="54" s="1"/>
  <c r="J7" i="1" s="1"/>
  <c r="K365" i="54" a="1"/>
  <c r="K365" i="54" s="1"/>
  <c r="K4" i="1" s="1"/>
  <c r="K366" i="54" a="1"/>
  <c r="K366" i="54" s="1"/>
  <c r="K5" i="1" s="1"/>
  <c r="K367" i="54" a="1"/>
  <c r="K367" i="54" s="1"/>
  <c r="K6" i="1" s="1"/>
  <c r="K368" i="54" a="1"/>
  <c r="K368" i="54" s="1"/>
  <c r="K7" i="1" s="1"/>
  <c r="K369" i="54" a="1"/>
  <c r="K369" i="54" s="1"/>
  <c r="K8" i="1" s="1"/>
  <c r="K370" i="54" a="1"/>
  <c r="K370" i="54" s="1"/>
  <c r="K9" i="1" s="1"/>
  <c r="K371" i="54" a="1"/>
  <c r="K371" i="54" s="1"/>
  <c r="K10" i="1" s="1"/>
  <c r="K372" i="54" a="1"/>
  <c r="K372" i="54" s="1"/>
  <c r="K373" i="54" a="1"/>
  <c r="K373" i="54" s="1"/>
  <c r="L9" i="1" s="1"/>
  <c r="K374" i="54" a="1"/>
  <c r="K374" i="54" s="1"/>
  <c r="L10" i="1" s="1"/>
  <c r="K375" i="54" a="1"/>
  <c r="K375" i="54" s="1"/>
  <c r="K376" i="54" a="1"/>
  <c r="K376" i="54" s="1"/>
  <c r="M9" i="1" s="1"/>
  <c r="K377" i="54" a="1"/>
  <c r="K377" i="54" s="1"/>
  <c r="M10" i="1" s="1"/>
  <c r="K378" i="54" a="1"/>
  <c r="K378" i="54" s="1"/>
  <c r="K379" i="54" a="1"/>
  <c r="K379" i="54" s="1"/>
  <c r="K380" i="54" a="1"/>
  <c r="K380" i="54" s="1"/>
  <c r="K381" i="54" a="1"/>
  <c r="K381" i="54" s="1"/>
  <c r="K382" i="54" a="1"/>
  <c r="K382" i="54" s="1"/>
  <c r="K383" i="54" a="1"/>
  <c r="K383" i="54" s="1"/>
  <c r="K384" i="54" a="1"/>
  <c r="K384" i="54" s="1"/>
  <c r="K385" i="54" a="1"/>
  <c r="K385" i="54" s="1"/>
  <c r="K386" i="54" a="1"/>
  <c r="K386" i="54" s="1"/>
  <c r="K387" i="54" a="1"/>
  <c r="K387" i="54" s="1"/>
  <c r="E3" i="29" s="1"/>
  <c r="K388" i="54" a="1"/>
  <c r="K388" i="54" s="1"/>
  <c r="E4" i="29" s="1"/>
  <c r="M21" i="38" s="1"/>
  <c r="K389" i="54" a="1"/>
  <c r="K389" i="54" s="1"/>
  <c r="E5" i="29" s="1"/>
  <c r="K390" i="54" a="1"/>
  <c r="K390" i="54" s="1"/>
  <c r="E6" i="29" s="1"/>
  <c r="K391" i="54" a="1"/>
  <c r="K391" i="54" s="1"/>
  <c r="E7" i="29" s="1"/>
  <c r="N17" i="44" s="1"/>
  <c r="K392" i="54" a="1"/>
  <c r="K392" i="54" s="1"/>
  <c r="E8" i="29" s="1"/>
  <c r="N21" i="44" s="1"/>
  <c r="K393" i="54" a="1"/>
  <c r="K393" i="54" s="1"/>
  <c r="G8" i="29" s="1"/>
  <c r="K394" i="54" a="1"/>
  <c r="K394" i="54" s="1"/>
  <c r="H5" i="29" s="1"/>
  <c r="K395" i="54" a="1"/>
  <c r="K395" i="54" s="1"/>
  <c r="K396" i="54" a="1"/>
  <c r="K396" i="54" s="1"/>
  <c r="O3" i="29" s="1"/>
  <c r="K397" i="54" a="1"/>
  <c r="K397" i="54" s="1"/>
  <c r="O4" i="29" s="1"/>
  <c r="K398" i="54" a="1"/>
  <c r="K398" i="54" s="1"/>
  <c r="O5" i="29" s="1"/>
  <c r="K399" i="54" a="1"/>
  <c r="K399" i="54" s="1"/>
  <c r="O7" i="29" s="1"/>
  <c r="K400" i="54" a="1"/>
  <c r="K400" i="54" s="1"/>
  <c r="K13" i="29" s="1"/>
  <c r="K401" i="54" a="1"/>
  <c r="K401" i="54" s="1"/>
  <c r="K14" i="29" s="1"/>
  <c r="K402" i="54" a="1"/>
  <c r="K402" i="54" s="1"/>
  <c r="C2" i="37" s="1"/>
  <c r="A1" i="37" s="1"/>
  <c r="K403" i="54" a="1"/>
  <c r="K403" i="54" s="1"/>
  <c r="K404" i="54" a="1"/>
  <c r="K404" i="54" s="1"/>
  <c r="A3" i="37" s="1"/>
  <c r="K405" i="54" a="1"/>
  <c r="K405" i="54" s="1"/>
  <c r="A4" i="37" s="1"/>
  <c r="K406" i="54" a="1"/>
  <c r="K406" i="54" s="1"/>
  <c r="A5" i="37" s="1"/>
  <c r="K407" i="54" a="1"/>
  <c r="K407" i="54" s="1"/>
  <c r="A6" i="37" s="1"/>
  <c r="K408" i="54" a="1"/>
  <c r="K408" i="54" s="1"/>
  <c r="A7" i="37" s="1"/>
  <c r="K409" i="54" a="1"/>
  <c r="K409" i="54" s="1"/>
  <c r="A8" i="37" s="1"/>
  <c r="K410" i="54" a="1"/>
  <c r="K410" i="54" s="1"/>
  <c r="C4" i="37" s="1"/>
  <c r="A2" i="37" s="1"/>
  <c r="K411" i="54" a="1"/>
  <c r="K411" i="54" s="1"/>
  <c r="K412" i="54" a="1"/>
  <c r="K412" i="54" s="1"/>
  <c r="K413" i="54" a="1"/>
  <c r="K413" i="54" s="1"/>
  <c r="K414" i="54" a="1"/>
  <c r="K414" i="54" s="1"/>
  <c r="K415" i="54" a="1"/>
  <c r="K415" i="54" s="1"/>
  <c r="C2" i="38" s="1"/>
  <c r="A1" i="38" s="1"/>
  <c r="K416" i="54" a="1"/>
  <c r="K416" i="54" s="1"/>
  <c r="C4" i="38" s="1"/>
  <c r="A2" i="38" s="1"/>
  <c r="K417" i="54" a="1"/>
  <c r="K417" i="54" s="1"/>
  <c r="K418" i="54" a="1"/>
  <c r="K418" i="54" s="1"/>
  <c r="K419" i="54" a="1"/>
  <c r="K419" i="54" s="1"/>
  <c r="K420" i="54" a="1"/>
  <c r="K420" i="54" s="1"/>
  <c r="A6" i="38" s="1"/>
  <c r="K421" i="54" a="1"/>
  <c r="K421" i="54" s="1"/>
  <c r="K422" i="54" a="1"/>
  <c r="K422" i="54" s="1"/>
  <c r="K423" i="54" a="1"/>
  <c r="K423" i="54" s="1"/>
  <c r="K424" i="54" a="1"/>
  <c r="K424" i="54" s="1"/>
  <c r="K425" i="54" a="1"/>
  <c r="K425" i="54" s="1"/>
  <c r="C4" i="42" s="1"/>
  <c r="A2" i="42" s="1"/>
  <c r="K426" i="54" a="1"/>
  <c r="K426" i="54" s="1"/>
  <c r="A3" i="42" s="1"/>
  <c r="K427" i="54" a="1"/>
  <c r="K427" i="54" s="1"/>
  <c r="A4" i="42" s="1"/>
  <c r="K428" i="54" a="1"/>
  <c r="K428" i="54" s="1"/>
  <c r="A5" i="42" s="1"/>
  <c r="K429" i="54" a="1"/>
  <c r="K429" i="54" s="1"/>
  <c r="A6" i="42" s="1"/>
  <c r="K430" i="54" a="1"/>
  <c r="K430" i="54" s="1"/>
  <c r="C2" i="42" s="1"/>
  <c r="A1" i="42" s="1"/>
  <c r="K431" i="54" a="1"/>
  <c r="K431" i="54" s="1"/>
  <c r="K432" i="54" a="1"/>
  <c r="K432" i="54" s="1"/>
  <c r="K433" i="54" a="1"/>
  <c r="K433" i="54" s="1"/>
  <c r="K434" i="54" a="1"/>
  <c r="K434" i="54" s="1"/>
  <c r="K435" i="54" a="1"/>
  <c r="K435" i="54" s="1"/>
  <c r="C2" i="43" s="1"/>
  <c r="K436" i="54" a="1"/>
  <c r="K436" i="54" s="1"/>
  <c r="C4" i="43" s="1"/>
  <c r="K437" i="54" a="1"/>
  <c r="K437" i="54" s="1"/>
  <c r="K438" i="54" a="1"/>
  <c r="K438" i="54" s="1"/>
  <c r="K439" i="54" a="1"/>
  <c r="K439" i="54" s="1"/>
  <c r="K440" i="54" a="1"/>
  <c r="K440" i="54" s="1"/>
  <c r="K441" i="54" a="1"/>
  <c r="K441" i="54" s="1"/>
  <c r="K442" i="54" a="1"/>
  <c r="K442" i="54" s="1"/>
  <c r="F7" i="43" s="1"/>
  <c r="K443" i="54" a="1"/>
  <c r="K443" i="54" s="1"/>
  <c r="K444" i="54" a="1"/>
  <c r="K444" i="54" s="1"/>
  <c r="K445" i="54" a="1"/>
  <c r="K445" i="54" s="1"/>
  <c r="C4" i="44" s="1"/>
  <c r="A2" i="44" s="1"/>
  <c r="K446" i="54" a="1"/>
  <c r="K446" i="54" s="1"/>
  <c r="A3" i="44" s="1"/>
  <c r="K447" i="54" a="1"/>
  <c r="K447" i="54" s="1"/>
  <c r="A4" i="44" s="1"/>
  <c r="K448" i="54" a="1"/>
  <c r="K448" i="54" s="1"/>
  <c r="A5" i="44" s="1"/>
  <c r="K449" i="54" a="1"/>
  <c r="K449" i="54" s="1"/>
  <c r="A6" i="44" s="1"/>
  <c r="K450" i="54" a="1"/>
  <c r="K450" i="54" s="1"/>
  <c r="A7" i="44" s="1"/>
  <c r="K451" i="54" a="1"/>
  <c r="K451" i="54" s="1"/>
  <c r="A8" i="44" s="1"/>
  <c r="K452" i="54" a="1"/>
  <c r="K452" i="54" s="1"/>
  <c r="A9" i="44" s="1"/>
  <c r="K453" i="54" a="1"/>
  <c r="K453" i="54" s="1"/>
  <c r="K454" i="54" a="1"/>
  <c r="K454" i="54" s="1"/>
  <c r="K455" i="54" a="1"/>
  <c r="K455" i="54" s="1"/>
  <c r="K456" i="54" a="1"/>
  <c r="K456" i="54" s="1"/>
  <c r="K457" i="54" a="1"/>
  <c r="K457" i="54" s="1"/>
  <c r="K458" i="54" a="1"/>
  <c r="K458" i="54" s="1"/>
  <c r="K459" i="54" a="1"/>
  <c r="K459" i="54" s="1"/>
  <c r="C3" i="49" s="1"/>
  <c r="K460" i="54" a="1"/>
  <c r="K460" i="54" s="1"/>
  <c r="K461" i="54" a="1"/>
  <c r="K461" i="54" s="1"/>
  <c r="K462" i="54" a="1"/>
  <c r="K462" i="54" s="1"/>
  <c r="K463" i="54" a="1"/>
  <c r="K463" i="54" s="1"/>
  <c r="K464" i="54" a="1"/>
  <c r="K464" i="54" s="1"/>
  <c r="I17" i="49" s="1"/>
  <c r="K465" i="54" a="1"/>
  <c r="K465" i="54" s="1"/>
  <c r="K466" i="54" a="1"/>
  <c r="K466" i="54" s="1"/>
  <c r="K467" i="54" a="1"/>
  <c r="K467" i="54" s="1"/>
  <c r="K468" i="54" a="1"/>
  <c r="K468" i="54" s="1"/>
  <c r="K469" i="54" a="1"/>
  <c r="K469" i="54" s="1"/>
  <c r="K470" i="54" a="1"/>
  <c r="K470" i="54" s="1"/>
  <c r="C4" i="53" s="1"/>
  <c r="K471" i="54" a="1"/>
  <c r="K471" i="54" s="1"/>
  <c r="K472" i="54" a="1"/>
  <c r="K472" i="54" s="1"/>
  <c r="K473" i="54" a="1"/>
  <c r="K473" i="54" s="1"/>
  <c r="C3" i="29" s="1"/>
  <c r="P2" i="54" a="1"/>
  <c r="P2" i="54" s="1"/>
  <c r="F6" i="29" a="1"/>
  <c r="F3" i="29" a="1"/>
  <c r="F8" i="29" a="1"/>
  <c r="F7" i="29" a="1"/>
  <c r="F5" i="29" a="1"/>
  <c r="F4" i="29" a="1"/>
  <c r="F4" i="29" l="1"/>
  <c r="F5" i="29"/>
  <c r="F7" i="29"/>
  <c r="F8" i="29"/>
  <c r="F3" i="29"/>
  <c r="F6" i="29"/>
  <c r="B2" i="24"/>
  <c r="D10" i="45"/>
  <c r="A3" i="52"/>
  <c r="N7" i="52"/>
  <c r="D18" i="45"/>
  <c r="C2" i="52"/>
  <c r="A1" i="52" s="1"/>
  <c r="D29" i="44"/>
  <c r="C36" i="1"/>
  <c r="C35" i="1"/>
  <c r="C34" i="1"/>
  <c r="C33" i="1"/>
  <c r="C38" i="1"/>
  <c r="C37" i="1"/>
  <c r="C32" i="1"/>
  <c r="C31" i="1"/>
  <c r="D28" i="44"/>
  <c r="C30" i="1"/>
  <c r="C29" i="1"/>
  <c r="C28" i="1"/>
  <c r="C27" i="1"/>
  <c r="C26" i="1"/>
  <c r="C25" i="1"/>
  <c r="C19" i="1"/>
  <c r="C18" i="1"/>
  <c r="D27" i="44"/>
  <c r="C21" i="1"/>
  <c r="C24" i="1"/>
  <c r="C23" i="1"/>
  <c r="C20" i="1"/>
  <c r="C22" i="1"/>
  <c r="C17" i="1"/>
  <c r="D26" i="44"/>
  <c r="C16" i="1"/>
  <c r="C12" i="1"/>
  <c r="C11" i="1"/>
  <c r="C15" i="1"/>
  <c r="C14" i="1"/>
  <c r="C13" i="1"/>
  <c r="C7" i="1"/>
  <c r="C6" i="1"/>
  <c r="C10" i="1"/>
  <c r="C4" i="1"/>
  <c r="D25" i="44"/>
  <c r="C8" i="1"/>
  <c r="C5" i="1"/>
  <c r="C9" i="1"/>
  <c r="I10" i="1"/>
  <c r="J10" i="1"/>
  <c r="L5" i="1"/>
  <c r="L4" i="1"/>
  <c r="L6" i="1"/>
  <c r="L7" i="1"/>
  <c r="L8" i="1"/>
  <c r="M7" i="1"/>
  <c r="M6" i="1"/>
  <c r="M5" i="1"/>
  <c r="M4" i="1"/>
  <c r="M8" i="1"/>
  <c r="I9" i="1"/>
  <c r="J9" i="1"/>
  <c r="C2" i="44"/>
  <c r="A1" i="44" s="1"/>
  <c r="J6" i="1"/>
  <c r="J8" i="1"/>
  <c r="O6" i="29"/>
  <c r="J4" i="1"/>
  <c r="J5" i="1"/>
  <c r="C9" i="20"/>
  <c r="A2" i="20"/>
  <c r="D20" i="45"/>
  <c r="C2" i="51"/>
  <c r="A1" i="51" s="1"/>
  <c r="B17" i="49"/>
  <c r="B13" i="49"/>
  <c r="I3" i="42"/>
  <c r="I3" i="38"/>
  <c r="L3" i="37"/>
  <c r="J3" i="44"/>
  <c r="I3" i="43"/>
  <c r="W9" i="24"/>
  <c r="M4" i="43"/>
  <c r="M16" i="43"/>
  <c r="M16" i="42"/>
  <c r="N13" i="44"/>
  <c r="M13" i="43"/>
  <c r="M13" i="42"/>
  <c r="G3" i="29"/>
  <c r="G5" i="29"/>
  <c r="H6" i="29"/>
  <c r="M30" i="43"/>
  <c r="M30" i="38"/>
  <c r="N29" i="44"/>
  <c r="P33" i="37"/>
  <c r="M30" i="42"/>
  <c r="H7" i="29"/>
  <c r="P18" i="37"/>
  <c r="M16" i="38"/>
  <c r="P15" i="37"/>
  <c r="M13" i="38"/>
  <c r="D3" i="29"/>
  <c r="H8" i="29"/>
  <c r="G4" i="29"/>
  <c r="W33" i="37"/>
  <c r="G6" i="29"/>
  <c r="C7" i="29"/>
  <c r="A4" i="20"/>
  <c r="A7" i="38"/>
  <c r="A10" i="44"/>
  <c r="A7" i="43"/>
  <c r="A7" i="42"/>
  <c r="A9" i="37"/>
  <c r="G7" i="29"/>
  <c r="C6" i="29"/>
  <c r="C5" i="29"/>
  <c r="C8" i="29"/>
  <c r="H3" i="29"/>
  <c r="C4" i="29"/>
  <c r="H4" i="29"/>
  <c r="J22" i="20"/>
  <c r="T30" i="38"/>
  <c r="T30" i="42"/>
  <c r="T30" i="43"/>
  <c r="U29" i="44"/>
  <c r="AF11" i="24"/>
  <c r="I19" i="45"/>
  <c r="C3" i="45"/>
  <c r="P23" i="37"/>
  <c r="N4" i="44"/>
  <c r="M4" i="42"/>
  <c r="M4" i="38"/>
  <c r="P4" i="37"/>
  <c r="I8" i="29" a="1"/>
  <c r="I4" i="29" a="1"/>
  <c r="I7" i="29" a="1"/>
  <c r="I6" i="29" a="1"/>
  <c r="I3" i="29" a="1"/>
  <c r="I5" i="29" a="1"/>
  <c r="O29" i="44" l="1"/>
  <c r="N30" i="43"/>
  <c r="Q33" i="37"/>
  <c r="N30" i="38"/>
  <c r="N30" i="42"/>
  <c r="R29" i="44"/>
  <c r="Q30" i="42"/>
  <c r="T33" i="37"/>
  <c r="Q30" i="43"/>
  <c r="Q30" i="38"/>
  <c r="S29" i="44"/>
  <c r="R30" i="42"/>
  <c r="U33" i="37"/>
  <c r="R30" i="38"/>
  <c r="R30" i="43"/>
  <c r="R33" i="37"/>
  <c r="O30" i="42"/>
  <c r="P29" i="44"/>
  <c r="O30" i="43"/>
  <c r="O30" i="38"/>
  <c r="P30" i="38"/>
  <c r="Q29" i="44"/>
  <c r="P30" i="42"/>
  <c r="S33" i="37"/>
  <c r="P30" i="43"/>
  <c r="I8" i="29"/>
  <c r="J8" i="29" s="1"/>
  <c r="I6" i="29"/>
  <c r="J6" i="29" s="1"/>
  <c r="I7" i="29"/>
  <c r="J7" i="29" s="1"/>
  <c r="I5" i="29"/>
  <c r="J5" i="29" s="1"/>
  <c r="I4" i="29"/>
  <c r="J4" i="29" s="1"/>
  <c r="I3" i="29"/>
  <c r="J3" i="29" s="1"/>
  <c r="Z7" i="24"/>
  <c r="J11" i="29" l="1"/>
  <c r="AD9" i="24"/>
  <c r="AD10" i="24"/>
  <c r="AD11" i="24"/>
  <c r="AD12" i="24"/>
  <c r="AD13" i="24"/>
  <c r="I13" i="45"/>
  <c r="N6" i="1" l="1"/>
  <c r="I2" i="1"/>
  <c r="V4" i="1"/>
  <c r="V5" i="1"/>
  <c r="V6" i="1"/>
  <c r="V7" i="1"/>
  <c r="V8" i="1"/>
  <c r="V9" i="1"/>
  <c r="T4" i="1" a="1"/>
  <c r="T4" i="1" s="1"/>
  <c r="T5" i="1" a="1"/>
  <c r="T5" i="1" s="1"/>
  <c r="T6" i="1" a="1"/>
  <c r="T6" i="1" s="1"/>
  <c r="T7" i="1" a="1"/>
  <c r="T7" i="1" s="1"/>
  <c r="T8" i="1" a="1"/>
  <c r="T8" i="1" s="1"/>
  <c r="T9" i="1" a="1"/>
  <c r="T9" i="1" s="1"/>
  <c r="N5" i="1"/>
  <c r="N7" i="1"/>
  <c r="I12" i="1" l="1"/>
  <c r="I13" i="1" s="1"/>
  <c r="E23" i="44" a="1"/>
  <c r="E23" i="44" s="1"/>
  <c r="V25" i="37"/>
  <c r="M13" i="1" a="1"/>
  <c r="M13" i="1" s="1"/>
  <c r="O13" i="1" a="1"/>
  <c r="O13" i="1" s="1"/>
  <c r="N7" i="44" a="1"/>
  <c r="N7" i="44" s="1"/>
  <c r="N13" i="1" a="1"/>
  <c r="N13" i="1" s="1"/>
  <c r="E7" i="44" a="1"/>
  <c r="E7" i="44" s="1"/>
  <c r="U5" i="1"/>
  <c r="U7" i="1"/>
  <c r="U8" i="1"/>
  <c r="U4" i="1"/>
  <c r="U6" i="1"/>
  <c r="U9" i="1"/>
  <c r="L2" i="1" l="1" a="1"/>
  <c r="L2" i="1" s="1"/>
  <c r="M2" i="1" a="1"/>
  <c r="M2" i="1" s="1"/>
  <c r="M21" i="43"/>
  <c r="K9" i="24"/>
  <c r="K10" i="24"/>
  <c r="K11" i="24"/>
  <c r="K12" i="24"/>
  <c r="K13" i="24"/>
  <c r="K14" i="24"/>
  <c r="K15" i="24"/>
  <c r="K16" i="24"/>
  <c r="K17" i="24"/>
  <c r="M21" i="42"/>
  <c r="X40" i="24" l="1"/>
  <c r="Y40" i="24" s="1"/>
  <c r="X31" i="24"/>
  <c r="Y31" i="24" s="1"/>
  <c r="X32" i="24"/>
  <c r="Y32" i="24" s="1"/>
  <c r="X33" i="24"/>
  <c r="Y33" i="24" s="1"/>
  <c r="X34" i="24"/>
  <c r="Y34" i="24" s="1"/>
  <c r="X35" i="24"/>
  <c r="Y35" i="24" s="1"/>
  <c r="X36" i="24"/>
  <c r="Y36" i="24" s="1"/>
  <c r="X37" i="24"/>
  <c r="Y37" i="24" s="1"/>
  <c r="X38" i="24"/>
  <c r="Y38" i="24" s="1"/>
  <c r="X39" i="24"/>
  <c r="Y39" i="24" s="1"/>
  <c r="V3" i="33" l="1"/>
  <c r="V4" i="33"/>
  <c r="V5" i="33"/>
  <c r="V6" i="33"/>
  <c r="T1" i="33"/>
  <c r="P24" i="33"/>
  <c r="P38" i="33"/>
  <c r="P15" i="33"/>
  <c r="P40" i="33"/>
  <c r="P37" i="33"/>
  <c r="P25" i="33"/>
  <c r="P31" i="33"/>
  <c r="P42" i="33"/>
  <c r="P12" i="33"/>
  <c r="P19" i="33"/>
  <c r="P43" i="33"/>
  <c r="P22" i="33"/>
  <c r="P45" i="33"/>
  <c r="P10" i="33"/>
  <c r="P27" i="33"/>
  <c r="P28" i="33"/>
  <c r="P8" i="33"/>
  <c r="P5" i="33"/>
  <c r="P44" i="33"/>
  <c r="P14" i="33"/>
  <c r="P7" i="33"/>
  <c r="P9" i="33"/>
  <c r="P33" i="33"/>
  <c r="P29" i="33"/>
  <c r="P18" i="33"/>
  <c r="P6" i="33"/>
  <c r="P13" i="33"/>
  <c r="P3" i="33"/>
  <c r="P35" i="33"/>
  <c r="P32" i="33"/>
  <c r="P41" i="33"/>
  <c r="P30" i="33"/>
  <c r="P34" i="33"/>
  <c r="P26" i="33"/>
  <c r="P16" i="33"/>
  <c r="P21" i="33"/>
  <c r="P11" i="33"/>
  <c r="P20" i="33"/>
  <c r="P4" i="33"/>
  <c r="P17" i="33"/>
  <c r="P39" i="33"/>
  <c r="P23" i="33"/>
  <c r="P36" i="33"/>
  <c r="J7" i="37" l="1" a="1"/>
  <c r="J7" i="37" s="1"/>
  <c r="D7" i="37" a="1"/>
  <c r="D7" i="37" s="1"/>
  <c r="P7" i="37" a="1"/>
  <c r="P7" i="37" s="1"/>
  <c r="AB9" i="24" a="1"/>
  <c r="AB9" i="24" s="1"/>
  <c r="AB13" i="24" a="1"/>
  <c r="AB13" i="24" s="1"/>
  <c r="AB10" i="24" a="1"/>
  <c r="AB10" i="24" s="1"/>
  <c r="AB11" i="24" a="1"/>
  <c r="AB11" i="24" s="1"/>
  <c r="AB12" i="24" a="1"/>
  <c r="AB12" i="24" s="1"/>
  <c r="G3" i="33"/>
  <c r="H3" i="33" s="1" a="1"/>
  <c r="H3" i="33" s="1"/>
  <c r="G10" i="33"/>
  <c r="H10" i="33" s="1" a="1"/>
  <c r="H10" i="33" s="1"/>
  <c r="G9" i="33"/>
  <c r="H9" i="33" s="1" a="1"/>
  <c r="H9" i="33" s="1"/>
  <c r="G5" i="33"/>
  <c r="H5" i="33" s="1" a="1"/>
  <c r="H5" i="33" s="1"/>
  <c r="G8" i="33"/>
  <c r="H8" i="33" s="1" a="1"/>
  <c r="H8" i="33" s="1"/>
  <c r="G4" i="33"/>
  <c r="H4" i="33" s="1" a="1"/>
  <c r="H4" i="33" s="1"/>
  <c r="C11" i="32" a="1"/>
  <c r="C11" i="32" s="1"/>
  <c r="X1" i="33" a="1"/>
  <c r="X1" i="33" s="1"/>
  <c r="H2" i="32" s="1"/>
  <c r="G6" i="33"/>
  <c r="H6" i="33" s="1" a="1"/>
  <c r="H6" i="33" s="1"/>
  <c r="G7" i="33"/>
  <c r="H7" i="33" s="1" a="1"/>
  <c r="H7" i="33" s="1"/>
  <c r="D3" i="33"/>
  <c r="E7" i="33"/>
  <c r="D8" i="33"/>
  <c r="D5" i="33"/>
  <c r="E9" i="33"/>
  <c r="E6" i="33"/>
  <c r="E3" i="33"/>
  <c r="F10" i="33"/>
  <c r="F7" i="33"/>
  <c r="F4" i="33"/>
  <c r="D9" i="33"/>
  <c r="E4" i="33"/>
  <c r="E8" i="33"/>
  <c r="E5" i="33"/>
  <c r="F9" i="33"/>
  <c r="F6" i="33"/>
  <c r="F3" i="33"/>
  <c r="D6" i="33"/>
  <c r="E10" i="33"/>
  <c r="D10" i="33"/>
  <c r="D7" i="33"/>
  <c r="D4" i="33"/>
  <c r="F8" i="33"/>
  <c r="F5" i="33"/>
  <c r="I4" i="33" l="1" a="1"/>
  <c r="I4" i="33" s="1"/>
  <c r="Q11" i="32" s="1"/>
  <c r="I7" i="33" a="1"/>
  <c r="I7" i="33" s="1"/>
  <c r="Q14" i="32" s="1"/>
  <c r="I10" i="33" a="1"/>
  <c r="I10" i="33" s="1"/>
  <c r="Q17" i="32" s="1"/>
  <c r="I3" i="33" a="1"/>
  <c r="I3" i="33" s="1"/>
  <c r="Q10" i="32" s="1"/>
  <c r="I5" i="33" a="1"/>
  <c r="I5" i="33" s="1"/>
  <c r="Q12" i="32" s="1"/>
  <c r="I9" i="33" a="1"/>
  <c r="I9" i="33" s="1"/>
  <c r="Q16" i="32" s="1"/>
  <c r="I8" i="33" a="1"/>
  <c r="I8" i="33" s="1"/>
  <c r="Q15" i="32" s="1"/>
  <c r="I6" i="33" a="1"/>
  <c r="I6" i="33" s="1"/>
  <c r="Q13" i="32" s="1"/>
  <c r="N4" i="1" l="1"/>
  <c r="N26" i="44" l="1"/>
  <c r="S23" i="42"/>
  <c r="T19" i="44"/>
  <c r="L13" i="29"/>
  <c r="L14" i="29" s="1"/>
  <c r="T23" i="44"/>
  <c r="C34" i="32"/>
  <c r="S23" i="43"/>
  <c r="S23" i="38"/>
  <c r="M27" i="42" l="1"/>
  <c r="M27" i="43"/>
  <c r="N7" i="24"/>
  <c r="M6" i="38" s="1" a="1"/>
  <c r="M6" i="38" s="1"/>
  <c r="AC28" i="24"/>
  <c r="AB28" i="24"/>
  <c r="AA28" i="24"/>
  <c r="AC27" i="24"/>
  <c r="AB27" i="24"/>
  <c r="AA27" i="24"/>
  <c r="AC26" i="24"/>
  <c r="AB26" i="24"/>
  <c r="AA26" i="24"/>
  <c r="AC25" i="24"/>
  <c r="AB25" i="24"/>
  <c r="AA25" i="24"/>
  <c r="AC24" i="24"/>
  <c r="AB24" i="24"/>
  <c r="AA24" i="24"/>
  <c r="AC23" i="24"/>
  <c r="AB23" i="24"/>
  <c r="AA23" i="24"/>
  <c r="AC22" i="24"/>
  <c r="AB22" i="24"/>
  <c r="AA22" i="24"/>
  <c r="AC21" i="24"/>
  <c r="AB21" i="24"/>
  <c r="AA21" i="24"/>
  <c r="AC20" i="24"/>
  <c r="AB20" i="24"/>
  <c r="AA20" i="24"/>
  <c r="AC19" i="24"/>
  <c r="AB19" i="24"/>
  <c r="AA19" i="24"/>
  <c r="P29" i="37" l="1"/>
  <c r="M27" i="38"/>
  <c r="N13" i="24"/>
  <c r="N14" i="24" s="1"/>
  <c r="H9" i="24" l="1"/>
  <c r="H10" i="24"/>
  <c r="H11" i="24"/>
  <c r="H12" i="24"/>
  <c r="H13" i="24"/>
  <c r="H14" i="24"/>
  <c r="H15" i="24"/>
  <c r="H16" i="24"/>
  <c r="H17" i="24"/>
  <c r="W7" i="24"/>
  <c r="I9" i="24"/>
  <c r="I10" i="24"/>
  <c r="I11" i="24"/>
  <c r="I12" i="24"/>
  <c r="I13" i="24"/>
  <c r="I14" i="24"/>
  <c r="I15" i="24"/>
  <c r="I16" i="24"/>
  <c r="I17" i="24"/>
  <c r="T7" i="24"/>
  <c r="T6" i="24" s="1" a="1"/>
  <c r="T6" i="24" s="1"/>
  <c r="B21" i="24" a="1"/>
  <c r="B21" i="24" s="1"/>
  <c r="N21" i="24" s="1" a="1"/>
  <c r="N21" i="24" s="1"/>
  <c r="B22" i="24" a="1"/>
  <c r="B22" i="24" s="1"/>
  <c r="N22" i="24" s="1" a="1"/>
  <c r="N22" i="24" s="1"/>
  <c r="B23" i="24" a="1"/>
  <c r="B23" i="24" s="1"/>
  <c r="N23" i="24" s="1" a="1"/>
  <c r="N23" i="24" s="1"/>
  <c r="B24" i="24" a="1"/>
  <c r="B24" i="24" s="1"/>
  <c r="N24" i="24" s="1" a="1"/>
  <c r="N24" i="24" s="1"/>
  <c r="B25" i="24" a="1"/>
  <c r="B25" i="24" s="1"/>
  <c r="N25" i="24" s="1" a="1"/>
  <c r="N25" i="24" s="1"/>
  <c r="B26" i="24" a="1"/>
  <c r="B26" i="24" s="1"/>
  <c r="N26" i="24" s="1" a="1"/>
  <c r="N26" i="24" s="1"/>
  <c r="B27" i="24" a="1"/>
  <c r="B27" i="24" s="1"/>
  <c r="N27" i="24" s="1" a="1"/>
  <c r="N27" i="24" s="1"/>
  <c r="B28" i="24" a="1"/>
  <c r="B28" i="24" s="1"/>
  <c r="N28" i="24" s="1" a="1"/>
  <c r="N28" i="24" s="1"/>
  <c r="B29" i="24" a="1"/>
  <c r="B29" i="24" s="1"/>
  <c r="N29" i="24" s="1" a="1"/>
  <c r="N29" i="24" s="1"/>
  <c r="J9" i="24"/>
  <c r="J10" i="24"/>
  <c r="J11" i="24"/>
  <c r="J12" i="24"/>
  <c r="J13" i="24"/>
  <c r="J14" i="24"/>
  <c r="J15" i="24"/>
  <c r="J16" i="24"/>
  <c r="J17" i="24"/>
  <c r="I34" i="43" l="1"/>
  <c r="I35" i="43"/>
  <c r="F34" i="43"/>
  <c r="M7" i="43" a="1"/>
  <c r="M7" i="43" s="1"/>
  <c r="U14" i="24"/>
  <c r="U15" i="24" s="1"/>
  <c r="M7" i="42" a="1"/>
  <c r="M7" i="42" s="1"/>
  <c r="L9" i="24" a="1"/>
  <c r="L9" i="24" s="1"/>
  <c r="L13" i="24" a="1"/>
  <c r="L13" i="24" s="1"/>
  <c r="L17" i="24" a="1"/>
  <c r="L17" i="24" s="1"/>
  <c r="L16" i="24" a="1"/>
  <c r="L16" i="24" s="1"/>
  <c r="L10" i="24" a="1"/>
  <c r="L10" i="24" s="1"/>
  <c r="L14" i="24" a="1"/>
  <c r="L14" i="24" s="1"/>
  <c r="L11" i="24" a="1"/>
  <c r="L11" i="24" s="1"/>
  <c r="L15" i="24" a="1"/>
  <c r="L15" i="24" s="1"/>
  <c r="L12" i="24" a="1"/>
  <c r="L12" i="24" s="1"/>
  <c r="G28" i="24"/>
  <c r="E28" i="24"/>
  <c r="H28" i="24"/>
  <c r="F28" i="24"/>
  <c r="K28" i="24"/>
  <c r="I28" i="24"/>
  <c r="J28" i="24"/>
  <c r="D28" i="24"/>
  <c r="C28" i="24" s="1"/>
  <c r="K27" i="24"/>
  <c r="I27" i="24"/>
  <c r="G27" i="24"/>
  <c r="E27" i="24"/>
  <c r="J27" i="24"/>
  <c r="H27" i="24"/>
  <c r="F27" i="24"/>
  <c r="D27" i="24"/>
  <c r="C27" i="24" s="1"/>
  <c r="H26" i="24"/>
  <c r="F26" i="24"/>
  <c r="D26" i="24"/>
  <c r="C26" i="24" s="1"/>
  <c r="E26" i="24"/>
  <c r="J26" i="24"/>
  <c r="K26" i="24"/>
  <c r="I26" i="24"/>
  <c r="G26" i="24"/>
  <c r="H22" i="24"/>
  <c r="F22" i="24"/>
  <c r="D22" i="24"/>
  <c r="C22" i="24" s="1"/>
  <c r="J22" i="24"/>
  <c r="K22" i="24"/>
  <c r="I22" i="24"/>
  <c r="G22" i="24"/>
  <c r="E22" i="24"/>
  <c r="G24" i="24"/>
  <c r="E24" i="24"/>
  <c r="D24" i="24"/>
  <c r="C24" i="24" s="1"/>
  <c r="K24" i="24"/>
  <c r="I24" i="24"/>
  <c r="J24" i="24"/>
  <c r="H24" i="24"/>
  <c r="F24" i="24"/>
  <c r="K23" i="24"/>
  <c r="I23" i="24"/>
  <c r="G23" i="24"/>
  <c r="E23" i="24"/>
  <c r="J23" i="24"/>
  <c r="H23" i="24"/>
  <c r="F23" i="24"/>
  <c r="D23" i="24"/>
  <c r="C23" i="24" s="1"/>
  <c r="J29" i="24"/>
  <c r="H29" i="24"/>
  <c r="F29" i="24"/>
  <c r="D29" i="24"/>
  <c r="C29" i="24" s="1"/>
  <c r="K29" i="24"/>
  <c r="I29" i="24"/>
  <c r="G29" i="24"/>
  <c r="E29" i="24"/>
  <c r="J25" i="24"/>
  <c r="H25" i="24"/>
  <c r="F25" i="24"/>
  <c r="D25" i="24"/>
  <c r="C25" i="24" s="1"/>
  <c r="K25" i="24"/>
  <c r="I25" i="24"/>
  <c r="G25" i="24"/>
  <c r="E25" i="24"/>
  <c r="J21" i="24"/>
  <c r="H21" i="24"/>
  <c r="F21" i="24"/>
  <c r="D21" i="24"/>
  <c r="C21" i="24" s="1"/>
  <c r="K21" i="24"/>
  <c r="I21" i="24"/>
  <c r="G21" i="24"/>
  <c r="E21" i="24"/>
  <c r="T15" i="24"/>
  <c r="AD28" i="24" a="1"/>
  <c r="AD28" i="24" s="1"/>
  <c r="AD24" i="24" a="1"/>
  <c r="AD24" i="24" s="1"/>
  <c r="AD27" i="24" a="1"/>
  <c r="AD27" i="24" s="1"/>
  <c r="AE26" i="24" a="1"/>
  <c r="AE26" i="24" s="1"/>
  <c r="AD20" i="24" a="1"/>
  <c r="AD20" i="24" s="1"/>
  <c r="AE19" i="24" a="1"/>
  <c r="AE19" i="24" s="1"/>
  <c r="AD19" i="24" a="1"/>
  <c r="AD19" i="24" s="1"/>
  <c r="AD26" i="24" a="1"/>
  <c r="AD26" i="24" s="1"/>
  <c r="AE25" i="24" a="1"/>
  <c r="AE25" i="24" s="1"/>
  <c r="AD23" i="24" a="1"/>
  <c r="AD23" i="24" s="1"/>
  <c r="AE22" i="24" a="1"/>
  <c r="AE22" i="24" s="1"/>
  <c r="AE23" i="24" a="1"/>
  <c r="AE23" i="24" s="1"/>
  <c r="AE20" i="24" a="1"/>
  <c r="AE20" i="24" s="1"/>
  <c r="AE28" i="24" a="1"/>
  <c r="AE28" i="24" s="1"/>
  <c r="AD25" i="24" a="1"/>
  <c r="AD25" i="24" s="1"/>
  <c r="AE24" i="24" a="1"/>
  <c r="AE24" i="24" s="1"/>
  <c r="AD22" i="24" a="1"/>
  <c r="AD22" i="24" s="1"/>
  <c r="AE21" i="24" a="1"/>
  <c r="AE21" i="24" s="1"/>
  <c r="AE27" i="24" a="1"/>
  <c r="AE27" i="24" s="1"/>
  <c r="AD21" i="24" a="1"/>
  <c r="AD21" i="24" s="1"/>
  <c r="W14" i="24"/>
  <c r="W15" i="24"/>
  <c r="T14" i="24"/>
  <c r="F7" i="42"/>
  <c r="L22" i="24"/>
  <c r="L24" i="24"/>
  <c r="M23" i="24" l="1"/>
  <c r="M21" i="24"/>
  <c r="M26" i="24"/>
  <c r="M24" i="24"/>
  <c r="M22" i="24"/>
  <c r="M25" i="24"/>
  <c r="M27" i="24"/>
  <c r="M29" i="24"/>
  <c r="L28" i="24"/>
  <c r="L25" i="24"/>
  <c r="M28" i="24"/>
  <c r="L21" i="24"/>
  <c r="L26" i="24"/>
  <c r="L29" i="24"/>
  <c r="L23" i="24"/>
  <c r="L27" i="24"/>
  <c r="N8" i="1" l="1"/>
  <c r="N9" i="1"/>
  <c r="N10"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H27" i="44" l="1" a="1"/>
  <c r="H27" i="44" s="1"/>
  <c r="E28" i="44" a="1"/>
  <c r="E28" i="44" s="1"/>
  <c r="W7" i="1" s="1"/>
  <c r="J28" i="44" a="1"/>
  <c r="J28" i="44" s="1"/>
  <c r="AB7" i="1" s="1"/>
  <c r="G27" i="44" a="1"/>
  <c r="G27" i="44" s="1"/>
  <c r="I27" i="44" a="1"/>
  <c r="I27" i="44" s="1"/>
  <c r="H29" i="44" a="1"/>
  <c r="H29" i="44" s="1"/>
  <c r="Z8" i="1" s="1"/>
  <c r="E26" i="44" a="1"/>
  <c r="E26" i="44" s="1"/>
  <c r="F25" i="44" a="1"/>
  <c r="F25" i="44" s="1"/>
  <c r="X4" i="1" s="1"/>
  <c r="H26" i="44" a="1"/>
  <c r="H26" i="44" s="1"/>
  <c r="Z5" i="1" s="1"/>
  <c r="I28" i="44" a="1"/>
  <c r="I28" i="44" s="1"/>
  <c r="AA7" i="1" s="1"/>
  <c r="F27" i="44" a="1"/>
  <c r="F27" i="44" s="1"/>
  <c r="J29" i="44" a="1"/>
  <c r="J29" i="44" s="1"/>
  <c r="G28" i="44" a="1"/>
  <c r="G28" i="44" s="1"/>
  <c r="Y7" i="1" s="1"/>
  <c r="H28" i="44" a="1"/>
  <c r="H28" i="44" s="1"/>
  <c r="Z7" i="1" s="1"/>
  <c r="I29" i="44" a="1"/>
  <c r="I29" i="44" s="1"/>
  <c r="F28" i="44" a="1"/>
  <c r="F28" i="44" s="1"/>
  <c r="X7" i="1" s="1"/>
  <c r="F26" i="44" a="1"/>
  <c r="F26" i="44" s="1"/>
  <c r="H25" i="44" a="1"/>
  <c r="H25" i="44" s="1"/>
  <c r="Z4" i="1" s="1"/>
  <c r="J26" i="44" a="1"/>
  <c r="J26" i="44" s="1"/>
  <c r="J25" i="44" a="1"/>
  <c r="J25" i="44" s="1"/>
  <c r="AB4" i="1" s="1"/>
  <c r="F29" i="44" a="1"/>
  <c r="F29" i="44" s="1"/>
  <c r="X8" i="1" s="1"/>
  <c r="G25" i="44" a="1"/>
  <c r="G25" i="44" s="1"/>
  <c r="Y4" i="1" s="1"/>
  <c r="I25" i="44" a="1"/>
  <c r="I25" i="44" s="1"/>
  <c r="AA4" i="1" s="1"/>
  <c r="E25" i="44" a="1"/>
  <c r="E25" i="44" s="1"/>
  <c r="W4" i="1" s="1"/>
  <c r="J27" i="44" a="1"/>
  <c r="J27" i="44" s="1"/>
  <c r="AB6" i="1" s="1"/>
  <c r="G26" i="44" a="1"/>
  <c r="G26" i="44" s="1"/>
  <c r="G29" i="44" a="1"/>
  <c r="G29" i="44" s="1"/>
  <c r="Y8" i="1" s="1"/>
  <c r="I26" i="44" a="1"/>
  <c r="I26" i="44" s="1"/>
  <c r="AA5" i="1" s="1"/>
  <c r="E27" i="44" a="1"/>
  <c r="E27" i="44" s="1"/>
  <c r="W6" i="1" s="1"/>
  <c r="E29" i="44" a="1"/>
  <c r="E29" i="44" s="1"/>
  <c r="W8" i="1" s="1"/>
  <c r="Y6" i="1" l="1"/>
  <c r="AB8" i="1"/>
  <c r="AB5" i="1"/>
  <c r="AA8" i="1"/>
  <c r="X6" i="1"/>
  <c r="W5" i="1"/>
  <c r="Y5" i="1"/>
  <c r="X5" i="1"/>
  <c r="AA6" i="1"/>
  <c r="Z6" i="1"/>
  <c r="G30" i="44"/>
  <c r="Y9" i="1" s="1"/>
  <c r="I30" i="44"/>
  <c r="AA9" i="1" s="1"/>
  <c r="J30" i="44"/>
  <c r="AB9" i="1" s="1"/>
  <c r="F30" i="44"/>
  <c r="X9" i="1" s="1"/>
  <c r="E30" i="44"/>
  <c r="W9" i="1" s="1"/>
  <c r="H30" i="44"/>
  <c r="Z9" i="1" s="1"/>
  <c r="K202" i="54" a="1"/>
  <c r="K202" i="54" s="1"/>
  <c r="A11" i="4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<sst xmlns="http://schemas.openxmlformats.org/spreadsheetml/2006/main" count="1430" uniqueCount="1128">
  <si>
    <t>English</t>
  </si>
  <si>
    <t>Choose me!</t>
  </si>
  <si>
    <t>Language 1</t>
  </si>
  <si>
    <t>Language 2</t>
  </si>
  <si>
    <t>Language 3</t>
  </si>
  <si>
    <t>Language 4</t>
  </si>
  <si>
    <t>Language 5</t>
  </si>
  <si>
    <t>Language 6</t>
  </si>
  <si>
    <t>Language 7</t>
  </si>
  <si>
    <t>Language 8</t>
  </si>
  <si>
    <t>Language 9</t>
  </si>
  <si>
    <t>Language 10</t>
  </si>
  <si>
    <t>Translation</t>
  </si>
  <si>
    <t>Number</t>
  </si>
  <si>
    <t>Language</t>
  </si>
  <si>
    <t>How Astronauts Organize Data, in partnership with NASA</t>
  </si>
  <si>
    <t>Cómo los astronautas organizan los datos, en colaboración con la NASA</t>
  </si>
  <si>
    <t>How Astronauts Organize Data</t>
  </si>
  <si>
    <t>¿Cómo los astronautas organizan los datos?</t>
  </si>
  <si>
    <t>Español</t>
  </si>
  <si>
    <t>In partnership with NASA</t>
  </si>
  <si>
    <t>En colaboración con la NASA</t>
  </si>
  <si>
    <t>Hacking STEM is excited to partner with NASA to bring you the Day of Data, where you can explore how data powers our astronauts, our space missions, and our world.</t>
  </si>
  <si>
    <t>Hacking STEM, se complace en asociarse con la NASA para ofrecerle el Día de los Datos, donde puedes explorar, cómo los datos impulsan a nuestros astronautas, a nuestras misiones espaciales y a nuestro mundo.</t>
  </si>
  <si>
    <t>Explore how data can be categorized, arranged, and sorted to make seemingly random information useful. Complete all lesson activities and earn your Space Data Badge.</t>
  </si>
  <si>
    <t>Explore cómo se puede categorizar, organizar y ordenar los datos,  para que la información que aparentemente es aleatoria le sea útil. Completa todas las actividades de la lección y gana tu insginia de datos espaciales.</t>
  </si>
  <si>
    <t>Have fun!</t>
  </si>
  <si>
    <t>¡Diviértete!</t>
  </si>
  <si>
    <t>Select language</t>
  </si>
  <si>
    <t>Seleccionar idioma</t>
  </si>
  <si>
    <t xml:space="preserve">How astronauts organize data, in partnership with NASA </t>
  </si>
  <si>
    <t>Press Ctrl key plus page down key to go to the next page.</t>
  </si>
  <si>
    <t>Presiona la tecla Ctrl más la tecla de página abajo para ir a la siguiente página.</t>
  </si>
  <si>
    <t>Next</t>
  </si>
  <si>
    <t>Siguiente</t>
  </si>
  <si>
    <t xml:space="preserve">Hello and welcome to your data discovery adventure! Scientists use data to solve problems and gain insights to understand and improve space travel. In this activity, you will explore how space data can be grouped, arranged, and visualized, to gain your OWN insights! </t>
  </si>
  <si>
    <t>Hola y bienvenido a esta aventura de ¡¡descubrimiento de datos!! Los científicos usan los datos para resolver problemas y obtener información para comprender y mejorar los viajes espaciales. En esta actividad, explorarás, cómo se pueden agrupar, organizar y visualizar los datos espaciales, para obtener tus propios conocimientos.</t>
  </si>
  <si>
    <t xml:space="preserve">Activities in this lesson can be found by going through the numbered tabs. Successful completion of each activity will earn you your Space Data Badge! </t>
  </si>
  <si>
    <t>Las actividades de esta lección se pueden encontrar, revisando las pestañas numeradas. Cada vez que concluyas de manera exitosa las actividades, recibirás una insignia de datos espaciales.</t>
  </si>
  <si>
    <t>Use the Table of Contents in cells D10 to E21 to orient yourself to the lesson. Then, when you are ready to begin, press Ctrl key plus page down key to go on to the next page.</t>
  </si>
  <si>
    <t>Utilice el índice de las celdas D10 a E21 para orientarse en la lección. Cuando estés listo para comenzar, presiona la tecla Ctrl más la tecla de página abajo, para pasar a la siguiente página.</t>
  </si>
  <si>
    <t>Hello and welcome to your data discovery adventure!</t>
  </si>
  <si>
    <t>Hola y bienvenido a esta aventura de !descubrimiento de datos!</t>
  </si>
  <si>
    <t xml:space="preserve">Scientists use data to solve problems and gain insights to understand and improve space travel. In this activity, explore how space data can be grouped, arranged, and visualized, to gain your OWN insights! </t>
  </si>
  <si>
    <t>Los científicos usan los datos para resolver problemas y obtener información para comprender y mejorar los viajes espaciales. En esta actividad explorarás, cómo se puede agrupar, organizar y visualizar los datos espaciales, para obtemer tus propios conocimientos.</t>
  </si>
  <si>
    <t>Title</t>
  </si>
  <si>
    <t>Título</t>
  </si>
  <si>
    <t>Introduction</t>
  </si>
  <si>
    <t>Introducción</t>
  </si>
  <si>
    <t>Table of Contents</t>
  </si>
  <si>
    <t>Tabla de Contenidos</t>
  </si>
  <si>
    <t>1. What is data</t>
  </si>
  <si>
    <t>1. ¿Qué es un dato?</t>
  </si>
  <si>
    <t>2. Data exploration</t>
  </si>
  <si>
    <t>2. Exploración de datos</t>
  </si>
  <si>
    <t>3. What is a table</t>
  </si>
  <si>
    <t>3. ¿Qué es una tabla?</t>
  </si>
  <si>
    <t>4. Table exploration</t>
  </si>
  <si>
    <t>4. Exploración de datos</t>
  </si>
  <si>
    <t>5. What is a chart</t>
  </si>
  <si>
    <t>5.¿Qué es un gráfico?</t>
  </si>
  <si>
    <t>6. Chart exploration</t>
  </si>
  <si>
    <t>6. Exploración de gráficos</t>
  </si>
  <si>
    <t>Extensions</t>
  </si>
  <si>
    <t>Extensiones</t>
  </si>
  <si>
    <t>Lesson Plan</t>
  </si>
  <si>
    <t>Plan de estudios</t>
  </si>
  <si>
    <t>Student Journal</t>
  </si>
  <si>
    <t>Diario del estudiante</t>
  </si>
  <si>
    <t>Contents</t>
  </si>
  <si>
    <t>Contenidos</t>
  </si>
  <si>
    <t>Day of Data</t>
  </si>
  <si>
    <t>Día de los Datos</t>
  </si>
  <si>
    <t>Table of contents and workbook tutorial</t>
  </si>
  <si>
    <t>Tabla de Contenidos y tutoriales  de los libros de trabajo</t>
  </si>
  <si>
    <t>Activity 1: why we group data</t>
  </si>
  <si>
    <t>Actividad 1: ¿Por qué agrupamos los datos?</t>
  </si>
  <si>
    <t>Activity 2: what type of data is this?</t>
  </si>
  <si>
    <t>Actividad 2: ¿Qué tipo de dato es este?</t>
  </si>
  <si>
    <t>Activity 3: why we organize data</t>
  </si>
  <si>
    <t>Actividad 3: ¿Por qué organizamos los datos?</t>
  </si>
  <si>
    <t>Activity 4: discovering with sorting</t>
  </si>
  <si>
    <t>Actividad 4: Descubriendo la clasificación</t>
  </si>
  <si>
    <t>Activity 5: why we visualize data</t>
  </si>
  <si>
    <t>Actividad 5: ¿Por qué  visualizamos los datos?</t>
  </si>
  <si>
    <t>Activity 6: why we create charts</t>
  </si>
  <si>
    <t>Actividad 6: ¿Por qué creamos los gráficos?</t>
  </si>
  <si>
    <t>Club for the Future "Send a postcard to space"</t>
  </si>
  <si>
    <t>Club del futuro "Manda una carta al espacio"</t>
  </si>
  <si>
    <t>Lesson plan and standards</t>
  </si>
  <si>
    <t>Plan de estudios y estándares</t>
  </si>
  <si>
    <t>Student journal for recording knowledge</t>
  </si>
  <si>
    <t>Diario del Estudiante para registro de sus conocimientos</t>
  </si>
  <si>
    <t>Using this workbook</t>
  </si>
  <si>
    <t>Usando el libro de trabajo</t>
  </si>
  <si>
    <t xml:space="preserve">Activities in this lesson can be found by going through the numbered blue tabs. Successful completion of each activity will earn you your Space Data Badge! </t>
  </si>
  <si>
    <t>Through these activities you will find blue bordered boxes like this. Use these to make selections to move through your activities.</t>
  </si>
  <si>
    <t>A través de estas actividades, encontrarás cajas con bordes azules como ésta. Úsalas para seleccionar y para moverte a través de las actividades.</t>
  </si>
  <si>
    <t>Ignore the "Unsaved Changes" warning if it appears.</t>
  </si>
  <si>
    <t>Ignore la advertencia "cambios no guardados" cuando aparezca.</t>
  </si>
  <si>
    <t>When you complete activities, the Next button with change color. Select it to move on!</t>
  </si>
  <si>
    <t>Una vez que complete las actividades, el botón de "siguiente" cambiará de color. Dale click para seguir adelante!</t>
  </si>
  <si>
    <t>Types of data</t>
  </si>
  <si>
    <t>Tipos de datos</t>
  </si>
  <si>
    <t>Data can be images</t>
  </si>
  <si>
    <t>Los datos pueden ser imágenes</t>
  </si>
  <si>
    <t>Data can be text</t>
  </si>
  <si>
    <t>Los datos pueden ser textos</t>
  </si>
  <si>
    <t>Data can be numbers</t>
  </si>
  <si>
    <t>Los datos pueden ser números</t>
  </si>
  <si>
    <t>Data can be grouped</t>
  </si>
  <si>
    <t>Los datos pueden ser agrupados</t>
  </si>
  <si>
    <t>There are many different types of data that we interpret in our everyday lives.</t>
  </si>
  <si>
    <t>Hay diferentes tipos de datos, que interpretamos en nuestra vida diaria.</t>
  </si>
  <si>
    <t>Images allow us to better understand something by looking at its shape, size, and color!
What can YOU learn from looking at the image of the Space Shuttle?</t>
  </si>
  <si>
    <t>Las imágenes nos permiten comprender mejor algo al observar su forma, tamaño y color. ¿Qué puedes aprender cuando vez la imagen de un cohete espacial?</t>
  </si>
  <si>
    <t>Words can be data too! They can describe or provide meaning to information.
What text data was most interesting to YOU?</t>
  </si>
  <si>
    <t>¡Las palabras también pueden ser datos! Pueden describir o dar significado a la información. ¿Qué datos de texto, te resultaron más interesantes?</t>
  </si>
  <si>
    <t>Numbers are also data! Numbers allow us to compare different facts that are measured.</t>
  </si>
  <si>
    <t>¡Los números también son datos! Los números nos permiten comparar, diferentes hechos que se miden.</t>
  </si>
  <si>
    <t>Grouping data can make it easier to understand and compare. 
Now that you understand data better, share your knowledge on the next page to start earning a badge!</t>
  </si>
  <si>
    <t>La agrupación de datos puede facilitar la comprensión y la comparación. Ahora que comprendes mejor los datos, comparte tus conocimientos en la página siguiente para comenzar a obtener una insginia.</t>
  </si>
  <si>
    <t>These can include images we see, words we read, and numbers we use!</t>
  </si>
  <si>
    <t>Estos pueden incluir imágenes que vemos, palabras que leemos y números que usamos.</t>
  </si>
  <si>
    <t>What text data is most interesting to you?</t>
  </si>
  <si>
    <t>¿Qué datos de texto, te resultan más interesantes?</t>
  </si>
  <si>
    <t>Look at the number data that is highlighted, what could these numbers be measuring about rockets?</t>
  </si>
  <si>
    <t>Revisa los datos numéricos que están resaltados, ¿qué podrían medir estos números sobre los cohetes?</t>
  </si>
  <si>
    <t>Step</t>
  </si>
  <si>
    <t>Paso</t>
  </si>
  <si>
    <t>Text3</t>
  </si>
  <si>
    <t>Texto3</t>
  </si>
  <si>
    <t>Data can be messy</t>
  </si>
  <si>
    <t>Los datos pueden ser confusos</t>
  </si>
  <si>
    <t>Data can be organized</t>
  </si>
  <si>
    <t>Los datos pueden ser organizados</t>
  </si>
  <si>
    <t>Organizing with columns</t>
  </si>
  <si>
    <t>Organizando en columnas</t>
  </si>
  <si>
    <t>Organizing with rows</t>
  </si>
  <si>
    <t>Organizando en filas</t>
  </si>
  <si>
    <t>Organizing in a table</t>
  </si>
  <si>
    <t>Organizando en una mesa</t>
  </si>
  <si>
    <t>Even with our data now grouped by type, it is still difficult to get much of the information we want quickly. To get the information we need easier,  we will now start to arrange our data into a TABLE.</t>
  </si>
  <si>
    <t>Incluso con nuestros datos agrupados por tipo, sigue siendo difícil obtener gran parte de la información que queremos rápidamente. Para obtener la información que necesitamos más fácilmente, ahora comenzaremos a organizar nuestros datos en una tabla.</t>
  </si>
  <si>
    <t>Using Excel, you can arrange your data in a way that makes getting useful information fast.   Spreadsheets are digital tables that make organizing data a breeze!
Can you think of another way to group this data?</t>
  </si>
  <si>
    <t>Con excel, puedes organizar tus datos de una manera que agiliza la obtención de información útil. Las hojas de cálculo son tablas digitales que facilitan la organización de los datos. ¿Puedes pensar en otra forma de agrupar estos datos?</t>
  </si>
  <si>
    <t>You can organize each data type by placing it in COLUMNS.  At the top of each column you can add a descriptor word or title called a COLUMN HEADER. Can you think of other titles that would work for these columns?</t>
  </si>
  <si>
    <t>Puedes organizar cada tipo de datos colocándolo en COLUMNAS.  En la parte superior de cada columna, puedes agregar una palabra descriptiva o un título llamado ENCABEZADO DE COLUMNA. ¿Puedes pensar en otros títulos que fiuncionarían para estas columnas?</t>
  </si>
  <si>
    <t>ROWS have data that is organized left and right or horizontally.  They allow you to arrange information about a specific topic using different types of data. Here, the highlighted row shows different types of data for the Soyuz-U rocket.</t>
  </si>
  <si>
    <t>Las FILAS tienen datos organizados de izquierda a derecha u horizontalmente. Te permiten organizar información sobre un tema específico utilizando diferentes tipos de datos.  Aquí,  la fila resaltada muestra diferentes tipos de datos para el cohete SOYUZ-U.</t>
  </si>
  <si>
    <t>When the table is complete, it looks like this. COLUMNS and ROWS arrange data in an easy-to-read format which makes getting information easier. Can you locate the text data for the Space Shuttle?</t>
  </si>
  <si>
    <t>Cuando la tabla está completa, se ve así. Las COLUMNAS y FILAS organizan los datos en un formato fácil de leer que facilita la obtención de información. ¿Puedes localizar los datos de texto del cohete espacial?</t>
  </si>
  <si>
    <t>Sorting in a table</t>
  </si>
  <si>
    <t>Clasificar en una tabla</t>
  </si>
  <si>
    <t>How do you SORT?</t>
  </si>
  <si>
    <t>¿Cómo clasificas?</t>
  </si>
  <si>
    <t>Sorting Ascending</t>
  </si>
  <si>
    <t>Clasificación ascendente</t>
  </si>
  <si>
    <t>Sorting Descending</t>
  </si>
  <si>
    <t>Clasificación descendente</t>
  </si>
  <si>
    <t>Having data put into a table not only organizes, but also allows Excel to sort for you. Sorting allows you to arrange column data in a different order that you choose.</t>
  </si>
  <si>
    <t>Tener los datos en una tabla, no solo organiza,  sino que también permite que excel los ordene. La clasificación te permite organizar los datos de las columnas en un orden diferente al previamente seleccionado.</t>
  </si>
  <si>
    <t xml:space="preserve">You can SORT by selecting the filter button (small down arrow) located in the column header. 
This brings up a menu, which allows you to choose how you want your data organized. </t>
  </si>
  <si>
    <t>Puedes CLASIFICAR, seleccionando el botón de filtro (pequeña flecha hacia abajo), ubicado en el encabezado de la columna. Esta acción abrirá un menú, que te permite elegir, cómo deseas organizar  tus datos.</t>
  </si>
  <si>
    <t>You can sort both numbers and text by their value. 
In the SORT MENU, selecting 'Sort Ascending' arranges the data with smallest at the top, and largest at the bottom.</t>
  </si>
  <si>
    <t>Puedes clasificar tanto los números como los textos por su valor. En el MENÚ CLASIFICACIÓN, al seleccionar "Clasificación Ascendente", los datos se ordenan, con el más pequeño en la parte superior y el más grande en la parte inferior.</t>
  </si>
  <si>
    <t>You can also sort in DESCENDING order in a similar manner.
In the SORT MENU, selecting 'Sort Descending' arranges the data from largest to smallest.</t>
  </si>
  <si>
    <t>Se puede ordenar también de manera descendente. En el MENÚ CLASIFICACIÓN, al seleccionar "Clasificación Descendente", se organizan los datos de mayor a menor.</t>
  </si>
  <si>
    <t>¡¡Elígeme!!</t>
  </si>
  <si>
    <t>Switch to me!</t>
  </si>
  <si>
    <t>¡¡Cambíate a mí!!</t>
  </si>
  <si>
    <t>Select the box that says "Choose me!" and the gray "dropdown" box. This brings up a menu that shows what else you can select. Choose "Switch to me!".</t>
  </si>
  <si>
    <t>Selecciona la casilla que dice "Elígeme" y el cuadro "desplegable" gris. Esta acción abrirá un menú que muestra que más puedes seleccionar. Elija ¡Cambiar a mí!</t>
  </si>
  <si>
    <t>Great job! Now you're ready to begin the activities. Throughout this workbook, you will have questions to check your understanding. Answer these, and you can earn a Space Data Badge!</t>
  </si>
  <si>
    <t>¡Excelente trabajo! Ahora estás listo para comenzar las actividades. A lo largo de este libro de trabajo, se plantearán preguntas que te permitan verificar tu comprensión. Responde estas preguntas y podrás ganar una insignia de datos espaciales.</t>
  </si>
  <si>
    <t>Dropdown</t>
  </si>
  <si>
    <t>Desplegable</t>
  </si>
  <si>
    <t>Name (unit)</t>
  </si>
  <si>
    <t>Nombre (unidad)</t>
  </si>
  <si>
    <t>Unit</t>
  </si>
  <si>
    <t>Unidad</t>
  </si>
  <si>
    <t>Object</t>
  </si>
  <si>
    <t>Objeto</t>
  </si>
  <si>
    <t>Value</t>
  </si>
  <si>
    <t>Valor</t>
  </si>
  <si>
    <t>Number of launches</t>
  </si>
  <si>
    <t>Número de lanzamientos</t>
  </si>
  <si>
    <t>Rocket height</t>
  </si>
  <si>
    <t>Altura del cohete</t>
  </si>
  <si>
    <t>Rocket mass</t>
  </si>
  <si>
    <t>Masa del cohete</t>
  </si>
  <si>
    <t>Launches (#)</t>
  </si>
  <si>
    <t>Lanzamientos (#)</t>
  </si>
  <si>
    <t>Height (m)</t>
  </si>
  <si>
    <t>Altura (m)</t>
  </si>
  <si>
    <t>Mass (kg)</t>
  </si>
  <si>
    <t>Masa (kg)</t>
  </si>
  <si>
    <t>Giraffe
(comparison)</t>
  </si>
  <si>
    <t>Jirafa (comparasión)</t>
  </si>
  <si>
    <t>Blue Whale
(comparison)</t>
  </si>
  <si>
    <t>Ballena Azul (comparasión)</t>
  </si>
  <si>
    <t>What are charts?</t>
  </si>
  <si>
    <t>¿Qué son los gráficos?</t>
  </si>
  <si>
    <t>What is a plot area?</t>
  </si>
  <si>
    <t>¿Qué es un área de parcela?</t>
  </si>
  <si>
    <t>What is a chart title?</t>
  </si>
  <si>
    <t>¿Qué es un título de gráfico?</t>
  </si>
  <si>
    <t>What are axis titles?</t>
  </si>
  <si>
    <t>¿Qué son los títulos de los ejes?</t>
  </si>
  <si>
    <t>How do you sort data?</t>
  </si>
  <si>
    <t>¿Cómo clasificas los datos?</t>
  </si>
  <si>
    <t>Charts help you visualize your data in a way that can be easier to understand. Here, the chart to the left is a visual version of the table below.</t>
  </si>
  <si>
    <t>Los gráficos te ayudan a visualizar los datos de una manera más fácil de entender. Aquí el gráfico de la izquierda es una versión visual de la siguiente tabla.</t>
  </si>
  <si>
    <t>The plot area in an Excel chart refers to the area of the chart where you find the data being visualized.</t>
  </si>
  <si>
    <t>El área de trazado en un gráfico de excel, se refiere al área del gráfico donde se encuentran los datos que se visualizan.</t>
  </si>
  <si>
    <t xml:space="preserve">A chart title describes the purpose of the chart. It is placed in the center at the top of the chart. </t>
  </si>
  <si>
    <t>Un título de gráfico describe el propósito del mismo. Se coloca en el centro en la parte superior del gráfico.</t>
  </si>
  <si>
    <t>Most charts have a vertical and a horizontal axis. On this chart, the vertical (or "y") axis shows the data measured, and the horizontal (or "x") axis shows the category.</t>
  </si>
  <si>
    <t>La mayoría de los gráficos tienen un eje vertical y uno horizontal. En este gráfico, el eje vertical (o "y"), muestra los datos medios, y el eje horizontal (o "x"), muestra la categoría.</t>
  </si>
  <si>
    <t>Sorting helps you organize and understand your data quickly. You can sort your chart by sorting your table! On the table below, select the gray square to the right of "Height" and sort in ASCENDING order.</t>
  </si>
  <si>
    <t>La clasificación te ayuda a organizar y comprender tus datos rápidamente. ¡Puedes ordenar tu gráfico, ordenando tu tabla!. En la siguiente tabla, selecciona el cuadro gris a la derecha de "Altura" y clasifica en orden ASCENDENTE.</t>
  </si>
  <si>
    <t>Falcon 9 FT</t>
  </si>
  <si>
    <t>Falcon 9FT</t>
  </si>
  <si>
    <t>Long March 2F</t>
  </si>
  <si>
    <t>Marcha Larga 2F</t>
  </si>
  <si>
    <t>Saturn V</t>
  </si>
  <si>
    <t>Saturno V</t>
  </si>
  <si>
    <t>Soyuz-U</t>
  </si>
  <si>
    <t>Space Shuttle</t>
  </si>
  <si>
    <t>Transbordador espacial</t>
  </si>
  <si>
    <t>Vostok-K</t>
  </si>
  <si>
    <t>Row</t>
  </si>
  <si>
    <t>Fila</t>
  </si>
  <si>
    <t>Rocket</t>
  </si>
  <si>
    <t>Cohete</t>
  </si>
  <si>
    <t>Null</t>
  </si>
  <si>
    <t>Nulo</t>
  </si>
  <si>
    <t>Country</t>
  </si>
  <si>
    <t>País</t>
  </si>
  <si>
    <t>Correct Value</t>
  </si>
  <si>
    <t>Valor correcto</t>
  </si>
  <si>
    <t>Prompt</t>
  </si>
  <si>
    <t>Rápido</t>
  </si>
  <si>
    <t>Correct Text</t>
  </si>
  <si>
    <t>Texto correcto</t>
  </si>
  <si>
    <t>Incorrect Text</t>
  </si>
  <si>
    <t>Texto incorrecto</t>
  </si>
  <si>
    <t>Shown</t>
  </si>
  <si>
    <t>Mostrado</t>
  </si>
  <si>
    <t>Q#</t>
  </si>
  <si>
    <t>Correct</t>
  </si>
  <si>
    <t>Correcto</t>
  </si>
  <si>
    <t>Incorrect</t>
  </si>
  <si>
    <t>Incorrecto</t>
  </si>
  <si>
    <t>Text</t>
  </si>
  <si>
    <t>Texto</t>
  </si>
  <si>
    <t>Número</t>
  </si>
  <si>
    <t>Image</t>
  </si>
  <si>
    <t>Imagen</t>
  </si>
  <si>
    <t>Q1.   Is this text, image, or number data?</t>
  </si>
  <si>
    <t>Q1. ¿Son datos de texto, imagen o número?</t>
  </si>
  <si>
    <t>Q2.   Is this text, image, or number data?</t>
  </si>
  <si>
    <t>Q2. ¿Son datos de texto, imagen o número?</t>
  </si>
  <si>
    <t>Q3.   Is this text, image, or number data?</t>
  </si>
  <si>
    <t>Q3. ¿Son datos de texto, imagen o número?</t>
  </si>
  <si>
    <t>Q4.   Is this text, image, or number data?</t>
  </si>
  <si>
    <t>Q4. ¿Son datos de texto, imagen o número?</t>
  </si>
  <si>
    <t>Q5.   Is this text, image, or number data?</t>
  </si>
  <si>
    <t>Q5. ¿Son datos de texto, imagen o número?</t>
  </si>
  <si>
    <t>Q6.   Is this text, image, or number data?</t>
  </si>
  <si>
    <t>Q6. ¿Son datos de texto, imagen o número?</t>
  </si>
  <si>
    <t>Q7.   Sort to find the rocket with the shortest HEIGHT.</t>
  </si>
  <si>
    <t>Q7. El cohete con la altura más corta</t>
  </si>
  <si>
    <t>Q8.   Sort to find the rocket with the 2nd most LAUNCHES.</t>
  </si>
  <si>
    <t>Q8. El cohete con el segundo mayor número de lanzamientos</t>
  </si>
  <si>
    <t>Q9.   Sort to find the rocket with the 3rd highest MASS.</t>
  </si>
  <si>
    <t>Q9. El cohete con la 3ª masa más fuerte</t>
  </si>
  <si>
    <t>Q10.   What is the 3rd tallest rocket?</t>
  </si>
  <si>
    <t>Q10. ¿Cuál es el 3er cohete más alto?</t>
  </si>
  <si>
    <t>Q11.   What rocket has the 2nd lowest mass?</t>
  </si>
  <si>
    <t>Q11. ¿Qué cohete tiene la 2da  masa más baja?</t>
  </si>
  <si>
    <t>Q12.   Which United States rocket launched first?</t>
  </si>
  <si>
    <t>Q12. ¿Qué cohete de Estados Unidos se lanzó primero?</t>
  </si>
  <si>
    <t>CONGRATULATIONS! You earned your Space Data Badge!</t>
  </si>
  <si>
    <t>¡FELICIDADES! Has ganado tu insignia de datos espaciales</t>
  </si>
  <si>
    <t>Keep answering questions to get your Space Data Badge!</t>
  </si>
  <si>
    <t>¡Sigue respondiendo preguntas para obtener tu insignia de datos espaciales!</t>
  </si>
  <si>
    <t>Start</t>
  </si>
  <si>
    <t>Inicio</t>
  </si>
  <si>
    <t>Keep Trying</t>
  </si>
  <si>
    <t>Sigue Intentando</t>
  </si>
  <si>
    <t>Pass</t>
  </si>
  <si>
    <t>Pasar</t>
  </si>
  <si>
    <t>Can you identify what types of data? 
Share your knowledge, and start earning your Space Data Badge!</t>
  </si>
  <si>
    <t>¿Puedes identificar qué tipos de datos? ¡Comparte tus conocimientos y comienza a ganar tu insignia de datos espaciales!</t>
  </si>
  <si>
    <t>You've made progress! 
Keep working on identifying that data to earn the first part of your Space Data Badge!</t>
  </si>
  <si>
    <t>¡Has progresado! Sigue trabajando para identificar esos datos y con ello, logres ganar la primera parte de tu insignia de datos espaciales.</t>
  </si>
  <si>
    <t>Congratulations, you've finished the first of three Stages! 
Click NEXT to keep going!</t>
  </si>
  <si>
    <t>¡FELICIDADES, has terminado la primera de las tres etapas! Haz click en siguiente para continuar.</t>
  </si>
  <si>
    <t>Can you find the answers by sorting your data?
Share your knowledge, and continue earning your Space Data Badge!</t>
  </si>
  <si>
    <t>¿Puedes encontrar las respuestas clasificando tus datos? ¡Comparte tus conocimientos y sigue ganando tu insignia de datos espaciales!</t>
  </si>
  <si>
    <t>You've made progress! 
Keep analyzing your data to earn the second part of your Space Data Badge!</t>
  </si>
  <si>
    <t>Congratulations, you've finished the second of three stages! 
Click NEXT to keep going!</t>
  </si>
  <si>
    <t>¡FELICIDADES, has terminado la segunda de las tres etapas! Haz click en siguiente para continuar.</t>
  </si>
  <si>
    <t>Can you find the answers by selecting the proper chart and sorting the table?  
Share your knowledge to complete your Space Data Badge!</t>
  </si>
  <si>
    <t>¿Puedes encontrar las respuestas clasificando tus datos? ¡Comparte tus conocimientos y completa tu insignia de datos espaciales!</t>
  </si>
  <si>
    <t>Great work! Keep working to finish your Space Data Badge! See how both the table and the chart can help you!</t>
  </si>
  <si>
    <t>¡Excelente trabajo! ¡Sigue adelante para termina tu insginia de datos espaciales! ¿Revisa como la tabla y el gráfico pueden ayudarte!</t>
  </si>
  <si>
    <t>Fantastic job, you've finished this activity! 
Answer any remaining questions on tabs 2 or 4 to earn your Badge!</t>
  </si>
  <si>
    <t>¡Gran trabajo! Has terminado esta actividad. Ahora responde las preguntas restantes de las pestañas 2 o 4 para que logres ganar tu insignia.</t>
  </si>
  <si>
    <t>What is data?</t>
  </si>
  <si>
    <t>¿Qué son los datos?</t>
  </si>
  <si>
    <t>Not all data is the same. Learn about different types of data that scientists use to answer questions about the world around them, and beyond!</t>
  </si>
  <si>
    <t>No todos los datos son iguales. Aprende sobre los diferentes tipos de datos que los científicos utilizan para responder preguntas sobre el mundo que los rodea y más allá.</t>
  </si>
  <si>
    <t>Choose ↓</t>
  </si>
  <si>
    <t>Seleccionar ↓</t>
  </si>
  <si>
    <t>Show your understanding!</t>
  </si>
  <si>
    <t>¡Demuestra tu aprendizaje!</t>
  </si>
  <si>
    <t>Can you determine what type of data the items below are? Is it text, an image or a number?</t>
  </si>
  <si>
    <t>¿Puedes determinar qué tipos de datos son los siguientes elementos? ¿Es un texo, una imagen  o un número?</t>
  </si>
  <si>
    <t>Visualizing data - what is a table?</t>
  </si>
  <si>
    <t>Visualización de datos ¿Qué es una tabla?</t>
  </si>
  <si>
    <t>When you have all your data in like groups, it can still be difficult to get the information you want. Learn how to organize your data into a TABLE to continue earning your space data badge!</t>
  </si>
  <si>
    <t>Cuando tienen todos sus datos en grupos similares, puede ser difícil obtener la información deseada. Aprende a organizar tus datos en una tabla, para que sigas ganando tus insignias de datos espaciales.</t>
  </si>
  <si>
    <t>Visualizing data</t>
  </si>
  <si>
    <t>Visualización de datos</t>
  </si>
  <si>
    <t>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t>
  </si>
  <si>
    <t>Utiliza el menú desplegable de la celda K4 para recorrer la lección. Presiona Alt más la tecla de flecha hacia abajo para abrir el menú desplegable. La tabla en C7 se actualizará según el paso en el que se encuentre la lección. Si prefieres una versión de texto de la lección, en lugar de usar el menú desplegable interactivo, continúa en la celda A4.</t>
  </si>
  <si>
    <t>Types of data: There are many different types of data that we interpret in our everyday lives. These can include images we see, words we read, and numbers we use!</t>
  </si>
  <si>
    <t>Tipos de datos: hay diferentes tipos de datos que interpretamos en nuestra vida diaria. Estos pueden incluir imágenes que vemos, palabras que leemos y número que usamos.</t>
  </si>
  <si>
    <t>Data can be images: Images allow us to better understand something by looking at its shape, size, and color. For example, the Space Shuttle is very large compared to other rockets like Soyuz-U and Saturn V.</t>
  </si>
  <si>
    <t>Los datos pueden ser imágenes. Las imágenes nos permiten comprender mejor algo, al observar su forma, tamaño y color. Por ejemplo, el transbordador espacial es muy grande en comparación con otros cohetes como Soyuz-U y Saturno V.</t>
  </si>
  <si>
    <t>Data can be text: Words can be data too! They can describe or provide meaning to information. Here are some examples of text data: Soyuz-U, Saturn V, Space Shuttle. What text data was most interesting to you?</t>
  </si>
  <si>
    <t>¡Los datos pueden ser texto! ¡Las palabras también pueden ser datos! Pueden describir o dar significado a la información. Aquí hay algunos ejemplos de datos de texto: Soyuz -U, Saturno V, Transbordador espacial. ¿Qué datos de texto te resultaron más interesantes?</t>
  </si>
  <si>
    <t>Data can be numbers: Numbers are also data! Numbers allow us to directly compare between values. Here are some examples: 110.6, 786, 2030000. Using the number data for the rockets, can you imagine how big these rockets are?</t>
  </si>
  <si>
    <t>¡Los datos pueden ser números! ¡Los números también son datos! Los números nos permiten comparar directamente entre valores. Aquí hay algunos ejemplos: 110.6, 786, 203000. Usando los datos numéricos de los cohetes, ¿te imaginas qué tan grandes son estos cohetes?</t>
  </si>
  <si>
    <t>Data can be grouped: Grouping data can make it easier to understand and compare. For example, we can group data based on type into images, text, and numbers. Now that you understand data better, share your knowledge on the next page to start earning your badge. Use Ctrl key plus page down key to go on to the next page.</t>
  </si>
  <si>
    <t>Los datos se pueden agrupar: la agrupación de datos puede facilitar su comprensión y comparación Por ejemplo, podemos agrupar datos según el tipo, en imágenes, texto y números. Ahora que comprendes mejor los datos, comparte tus conocimientos en la página siguiente para comenzar a obtener una insignia. Use la Ctrl más la tecla de avance de página para pasar a la página siguiente.</t>
  </si>
  <si>
    <t>Can you determine what type of data the items are? Is it text, an image, or a number?</t>
  </si>
  <si>
    <t>¿Puedes determinar qué tipos de datos son los siguientes elementos? ¿Es un texo, una imagen o un número?</t>
  </si>
  <si>
    <t>Find the six questions in columns E and L. Use alt key plus down arrow key in the dropdowns (columns G and N) to choose an answer.</t>
  </si>
  <si>
    <t>Busque las seis preguntas en las columnas E y L. Use la tecla Alt más la tecla de flecha hacia abajo en los</t>
  </si>
  <si>
    <t>When you have answered all of the questions, use the ctrl key plus the page down key to go on to the next page.</t>
  </si>
  <si>
    <t>Cuando hayas respondido todas las preguntas, usa la tecla de Ctrl, más la tecla de avance a la siguiente página, para que puedas seguir en la siguiente.</t>
  </si>
  <si>
    <t>Data can be messy: Even with our data now grouped by type, it is still difficult to get much of the information we want quickly. To get the information we need easier, we will now arrange the data into a table.</t>
  </si>
  <si>
    <t>Los datos pueden ser confusos, incluso aunque los datos esten agrupados por tipo, puede resultar difícil obtener la información que deseamos. Para que podamos obtener la información que requerimos fácilmente, ahora organizaremos los datos en una tabla.</t>
  </si>
  <si>
    <t>Data can be organized: Using Excel, you can arrange your data in a way that makes getting useful information fast. Spreadsheets are digital tables that make organizing data a breeze! Currently, the data is grouped by type into images, numbers, and words. Can you think of another way to group the data?</t>
  </si>
  <si>
    <t>Los datos se pueden organizar: con excel puede facilitar la obtención de la información. Las hojas de cálculo son tablas digitales que facilitan la organización de datos. Actualmente los datos se agrupan por  de imágenes, números y palabras. ¿De qué otra forma, crees que podamos organizar los datos?</t>
  </si>
  <si>
    <t>Organizing with columns: Grouping similar data into vertical columns you can start to organize each data type. By using a column header we can describe the data in that column. Now the data is organized into columns with the column headers of text, images, and numbers. Can you think of other titles we could have used for each column?</t>
  </si>
  <si>
    <t>Organización con columnas: Al agrupar datos similares en columnas verticales, puedes comenzar a organizar cada tipo de datos. Al usar encabezados en cada columna, nos permite describir los datos de esa columna. Ahora los datos están organizados en columnas con los encabezados de columna de texto, imágenes y números. ¿Qué otros títulos, crees que podríamos haber usado en cada columna?</t>
  </si>
  <si>
    <t>Organizing with rows: Rows have data that is organized horizontally. They help you find data that has different types but is still related. Here, the data in each row is about the same rocket... the Soyuz-U rocket, the Saturn V rocket, and the Space Shuttle!</t>
  </si>
  <si>
    <t>Organización con filas: Las filas tienen los datos organizados de manera horizontal. Te ayuda a encontrar datos que tienen diferentes tipos, pero aún están relacionados. Aquí los datos de cada fila, son sobre el mismo cohete... ¡El cohete Soyuz-U, el cohete Saturno V y el Transbordador espacial.</t>
  </si>
  <si>
    <t>Organizing in a table: When the table is complete, the data is organized into rows and columns. For example, the data can be organized by type (text, images, and numbers) and by rockets (Space Shuttle, Soyuz-U, and Saturn V) at the same time.</t>
  </si>
  <si>
    <t>Organización en un tabla: Cuando la tabla está completa, los datos se organizan en filas y columnas. Por ejemplo, los datos se pueden organizar por tipo (texto, imágenes y números) y por cohetes (Transbordador espacial, Soyuz-U,  Saturno V), al mismo tiempo.</t>
  </si>
  <si>
    <t>Use the ctrl key plus page down key to go on to the next page.</t>
  </si>
  <si>
    <t>Usa la tecla Crtl más la tecla de avance de página, para continuar en la siguiente página.</t>
  </si>
  <si>
    <t>Using a table</t>
  </si>
  <si>
    <t>Usando una tabla</t>
  </si>
  <si>
    <t>Placing data in a spreadsheet allows you to arrange and sort the data to get information quickly. See how organizing data in a table can make it easier to research these outer space rockets!</t>
  </si>
  <si>
    <t>Colocar datos en una hoja de cálculo, te permite organizar los datos, para que puedas obtener la información más rápido. ¡Revisa como la organización de los datos en una tabla, te puede facilitar la investigación, de estos cohetes espaciales.</t>
  </si>
  <si>
    <t>How many times did it go to space?</t>
  </si>
  <si>
    <t>¿Cuántas veces fue al espacio?</t>
  </si>
  <si>
    <t>How tall is it?</t>
  </si>
  <si>
    <t>¿Qué tan alto es?</t>
  </si>
  <si>
    <t>How big is it?</t>
  </si>
  <si>
    <t>¿Qué tan grande es?</t>
  </si>
  <si>
    <t>Placing data in a spreadsheet allows you to arrange and sort the data to get information quickly. Explore how organizing data in a table can make it easier to research these outer space rockets!</t>
  </si>
  <si>
    <t>Sorting in a table: Having data put into a table not only organizes, but also allows Excel to sort for you. Sorting allows you to arrange column data in a different order that you choose.</t>
  </si>
  <si>
    <t>Ordenar en una tabla: Tener datos colocados en una tabla, no solo los organiza, sino también permite que excel los ordene por ti. La clasificación te permite ordenar los datos de las columnas en el orden que selecciones.</t>
  </si>
  <si>
    <t>How do you sort? You can sort by using the filter button (a small down arrow) located in the column header. This brings up a menu, which allows you to choose how you want to sort your data.</t>
  </si>
  <si>
    <t>¿Cómo clasificas? Puedes ordenar usando el botón de filtro (una pequeña flecha hacia abajo), ubicada en el encabezado de la columna. Esta acción te abrirá el menú que te permite elegir, cómo deseas ordenar tus datos.</t>
  </si>
  <si>
    <t>Sorting ascending: You can sort both numbers and text by their values. In the Sort menu, using Sort Ascending arranges the data with the smallest at the top, and the largest at the bottom.</t>
  </si>
  <si>
    <t>Orden ascendente: Se puede ordenar tanto números como texto por sus valores. En el menú Ordenar, usa Orden Ascendente, este organiza los datos con el más pequeño en la parte superior y el más grande en la parte inferior.</t>
  </si>
  <si>
    <t>Sorting descending: You can also sort in descending order in a similar manner. In the Sort menu, use the Sort Descending option to arrange the data from largest to smallest.</t>
  </si>
  <si>
    <t>Orden descendente: Se puede ordenar de forma descendente de manera similar. En el menú Ordenar, utilice Orden Descendente, para organizar los datos de mayor a menor.</t>
  </si>
  <si>
    <t>Show your understanding by answering the questions in column M, then return to column A to continue the activity. You can find the table with rockets from cells F13 to I19, and the column headers with Sort menus in cells F13 to I13.</t>
  </si>
  <si>
    <t>Demuestra tu aprendizaje, respondiendo a las preguntas de la columna M, luego regresa a la columna A, para continuar con la actividad. Puedes encontrar la tabla con cohetes, de las celdas F13 a I19 y los encabezados de columna con los menús de clasificación en las celdas F13 a I13.</t>
  </si>
  <si>
    <t>Share your knowledge</t>
  </si>
  <si>
    <t>Comparte tu conocimiento</t>
  </si>
  <si>
    <t>Launches</t>
  </si>
  <si>
    <t>Lazamientos</t>
  </si>
  <si>
    <t>Visualizing data: What is a chart?</t>
  </si>
  <si>
    <t>Visualizando datos. ¿Qué es un gráfico?</t>
  </si>
  <si>
    <t>Learn about charts by checking out the different heights of rockets.</t>
  </si>
  <si>
    <t>Aprende acerca de los gráficos, comprobando las diferentes alturas de los cohetes.</t>
  </si>
  <si>
    <t>What are Charts? Charts help you think about data in a way that may be easier to understand. A chart is a visual representation of a table. In this lesson, find the original table in cells Q15 to T21, and find the chart by pressing the ctrl key plus the F6 key (when in Excel for the web) or Ctrl key plus Alt key plus 5 (when in Excel for Windows) until you locate the chart.</t>
  </si>
  <si>
    <t>¿Qué son los gráficos? Los gráficos te ayudan a pensar en los datos, de una manera más sencilla de entender. Un gráfico es una representación visual de una tabla. En esta lección, busca la tabla original en  las celdas Q15 a T21 y busca el gráfico presionando  la tecla Ctrl más la tecla F6 (cuando estés en excel para la web) o la tecla Ctrl más la tecla Alt más 5 (cuando estás en excel para windows), hasta que localices el gráfico.</t>
  </si>
  <si>
    <t>What is a plot area? The plot area in an Excel chart refers to the area of the chart where you find the data.</t>
  </si>
  <si>
    <t>¿Qué es un área de gráfico? Esta área en excel es donde se encuentran los gráficos</t>
  </si>
  <si>
    <t>What is a chart title? A chart title describes the purpose of the chart. It is placed in the center at the top of the chart.</t>
  </si>
  <si>
    <t>¿Qué un título de gráfico? Es el que describe el propósito del gráfico. Se coloca en el centro de la parte superior del gráfico.</t>
  </si>
  <si>
    <t>What are axis titles? Most charts have a vertical and a horizontal axis. On this chart, the vertical (or "y") axis shows the data measured which is height in meters, and the horizontal (or "x" axis shows the category which is rockets.</t>
  </si>
  <si>
    <t>¿Qué son los títulos de los ejes? La mayoría de los gráficos tienen un eje vertical y uno horizontal. En este gráfico, el eje vertical (o "y"), muestra los datos medidos, que son la altura en metros, y el eje horizontal (o "x"), muestra la categoría de cohetes.</t>
  </si>
  <si>
    <t>How do you sort data? Sorting helps you organize and understand your data quickly. To sort, go to the column header in a table and use the alt key plus the down arrow key to open the Sort menu.</t>
  </si>
  <si>
    <t>¿Cómo clasificas los datos? La clasificación te ayuda a organizary comprender los datos de una manera más rápida. Para ordenar, ve al encabezado de la columna en una tabla y usa la tecla Alt más la tecla de flecha hacia abajo, para abrir el menú Ordenar.</t>
  </si>
  <si>
    <t>Use the ctrl key plus the page down key to go on to the next page.</t>
  </si>
  <si>
    <t>Visualizing Data: What is a chart</t>
  </si>
  <si>
    <t>Learn about charts through looking at the different heights of these rockets.</t>
  </si>
  <si>
    <t>Learning through a chart</t>
  </si>
  <si>
    <t>Aprendiendo a través de un gráfico</t>
  </si>
  <si>
    <t>Share all that you have learned about data, tables, and charts by exploring these six historical rockets!</t>
  </si>
  <si>
    <t>¡Comparte todo lo que has aprendido, sobre datos, tablas y gráficos, explorando estos seis cohetes históricos.</t>
  </si>
  <si>
    <t>Show your understanding! Can you find the answers by sorting your data? Use the dropdown menu (with alt key plus down arrow key to bring up the menu) in cell I4 to switch between number of rocket launches, height of the rockets, and mass of the rockets. Find the chart using the ctrl key plus the F6 key. Use the table in cells D18 to I24 to answer the questions in column M. When you have finished answering the questions, return to column A to continue.</t>
  </si>
  <si>
    <t>¡Demuestra tu aprendizaje! ¿Puedes encontrar las respuestas ordenando tus datos?. Usa el menú desplegable, (con la tecla Alt más la tecla de flecha hacia abajo para abrir el menú), en la celda I4, para cambiar entre el número de lanzamientos de cohetes, la altura de los cohetes y la masa de los cohetes. Encuentra el gráfico usando la tecla Ctrl más la tecla F6. Utiliza la tabla de las celdas D18 a I24, para responder las preguntas de la columna M. Cuando hayas terminado de responder las preguntas, regresa a la columna A para continuar.</t>
  </si>
  <si>
    <t>If you would like to explore lesson extensions, a lesson plan, and a student journal, use the ctrl key plus page down key to move on.</t>
  </si>
  <si>
    <t>Si deseas explorar las extensiones de la lección, un plan de estudios y un diario del estudiante, usa la tecla Ctrl más la tecla de avance para página para continuar.</t>
  </si>
  <si>
    <t>Test all you have learned about data, tables, and charts through exploring these six historical rockets!</t>
  </si>
  <si>
    <t>¡Prueba todo lo que has aprendido, sobre datos, tablas y gráficos, explorando estos seis cohetes históricos!</t>
  </si>
  <si>
    <t>Rocket name</t>
  </si>
  <si>
    <t>Nombre del Cohete</t>
  </si>
  <si>
    <t>First launch</t>
  </si>
  <si>
    <t>Primer lanzamiento</t>
  </si>
  <si>
    <t>You earned a Space Data Badge!</t>
  </si>
  <si>
    <t>¡Has ganado una insignia de datos espaciales!</t>
  </si>
  <si>
    <t>Nice work, space data explorer! You learned so much about data and space!</t>
  </si>
  <si>
    <t>¡Buen trabajo explorador de datos espaciales! ¡Has aprendido mucho sobre datos y espacio!</t>
  </si>
  <si>
    <t>Send postcards to space! Thanks to the Club for the Future, you can send a postcard into space! Think about a future of life in space to benefit Earth, and receive a special space-flown keepsake in return. Visit www.clubforfuture.org to learn more.</t>
  </si>
  <si>
    <t>¡Envía postales al espacio! Gracias al club para el futuro, puedes enviar una postal al espacio. Piensa en el futuro,  la vida en el espacio en beneficio de la tierra, recibe a cambio un recuerdo del viaje espacial. Visita www.clubforfuture.org para obtener más información.</t>
  </si>
  <si>
    <t>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t>
  </si>
  <si>
    <t>Blue origin club for the future, puede enviar tu postal al espacio, por medio de Space Program, el cual es un plan de estudios alineado con los estándares, que permite a los maestros interactuar con los estudiantes de una manera inmersiva, los anima a pensar en el futuro, en la vida del espacio en beneficio de la tierra. Al finalizar esta actividad de forma exitosa, se recompensa a los estudiantes con un recuerdo espacial. Selecciona el botón Club para el Futuro y estarás a punto de comenzar con esta emocionante actividad. ¡Que te diviertas!</t>
  </si>
  <si>
    <t>BRING SPACE TO THE CLASSROOM</t>
  </si>
  <si>
    <t>TRAE EL ESPACIO A TU SALÓN DE CLASES</t>
  </si>
  <si>
    <t>Link</t>
  </si>
  <si>
    <t>Enlace</t>
  </si>
  <si>
    <t>Teachers, please find the lesson plan in columns C and D, and the standards covered in column N.</t>
  </si>
  <si>
    <t>Maestros, busquen el plan de estudios, en la columnas C y D y los estándares que se están cubriendo  en la columna N.</t>
  </si>
  <si>
    <t>Teacher Lesson Plan – How Astronauts Organize Data</t>
  </si>
  <si>
    <t>Plan de estudios para maestros: cómo organizan los datos los astronautas</t>
  </si>
  <si>
    <t>In this lesson, students explore the importance of data as it relates to our astronauts, our space missions, and our world. This self-paced Excel Online activity introduces beginning concepts for understanding and using data. Students learn how data can be categorized, arranged and sorted in order to make seemingly random information useful and meaningful. </t>
  </si>
  <si>
    <t>En esta lección, los estudiantes explorarán la importancia de los datos, con respecto a nuestros astronautas, nuestras misiones espaciales y nuestro mundo. En esta actividad de excel online se realiza a tu propio ritmo y presenta los conceptos iniciales para comprender y usar datos. Los estudiantes aprenden cómo se puede categorizar, organizar y clasificar los datos para que la información sea útil y significativa.</t>
  </si>
  <si>
    <t>LEARNING OBJECTIVE</t>
  </si>
  <si>
    <t>OBJETIVO DE APRENDIZAJE</t>
  </si>
  <si>
    <t>Compare and contrast data using Excel Online by sorting it in a table and interpreting corresponding visualizations of the data displayed in column charts.</t>
  </si>
  <si>
    <t>Compare y contraste los datos, usando excel en línea, ordenándolos en una tabla e interpretando las visualizaciones correspondientes de los datos mostrados en los gráficos de las columnas.</t>
  </si>
  <si>
    <t>INSTRUCTIONS</t>
  </si>
  <si>
    <t>INSTRUCCIONES</t>
  </si>
  <si>
    <t>Open the How Astronauts Organize Data workbook and familiarize yourself with how to use it by reading the information in the Contents worksheet of the workbook.</t>
  </si>
  <si>
    <t>Abre el libro de trabajo "Cómo organizan los datos los astronautas" y empieza a familiarizarte en cómo usarlo, leyendo la información en la hoja de trabajo y contenido del libro de trabajo.</t>
  </si>
  <si>
    <t>Complete the guided steps in the workbook for each of the worksheets prior to introducing the activity to your students.</t>
  </si>
  <si>
    <t>Completa los pasos que se te indican en el libro de trabajo, para cada una de las hojas, antes de que presentes la actividad a tus alumnos.</t>
  </si>
  <si>
    <t>Guide your students in opening the workbook, introduce your students to the lesson using the Introduction worksheet and show them how to navigate the workbook to earn their Space Data Badge.</t>
  </si>
  <si>
    <t>Guía a tus alumnos para que abran el libro de trabajo, preséntales la lección utilizado las hojas de trabajo de introducción y muéstrales cómo pueden navegar a través del libro de trabajo y con ello que logren sus insignias de datos espaciales.</t>
  </si>
  <si>
    <t>LEARNING EXTENSION</t>
  </si>
  <si>
    <t>EXTENSIÓN DEL APRENDIZAJE</t>
  </si>
  <si>
    <t>Have students complete the Club for the Future lesson located in the Extensions worksheet of the How Astronauts Organize Data Excel Online workbook.</t>
  </si>
  <si>
    <t>Impulsa a tus estudiantes para que concluyan la lección del Club para el  Futuro, que se encuentra en la hoja de trabajo, cómo organizan los datos de excel los astronautas.</t>
  </si>
  <si>
    <t>STANDARDS</t>
  </si>
  <si>
    <t>ESTÁNDARES</t>
  </si>
  <si>
    <t>NGSS</t>
  </si>
  <si>
    <t xml:space="preserve">5-PS1-2. Measure and graph quantities such as weight to address scientific and engineering questions and problems.  </t>
  </si>
  <si>
    <t>5-PS1-2 Mide y grafica las cantidades como el peso, para abordar cuestiones y problemas tanto científicos como de ingeniería.</t>
  </si>
  <si>
    <t xml:space="preserve">CCSS.Math.Content.3.MD.B.3 </t>
  </si>
  <si>
    <t xml:space="preserve">CCSS.Contenido de Matemáticas t.3.MD.B.3 </t>
  </si>
  <si>
    <t>Draw a scaled picture graph and a scaled bar graph to represent a data set with several categories. Solve one- and two-step "how many more" and "how many less" problems using information presented in scaled bar graphs.</t>
  </si>
  <si>
    <t>Dibuja un gráfico de imágenes a escala y un gráfico de barras a escala, para representar un conjunto de datos con varias categorías. Resuelve los problemas de uno y dos pasos de "cuántos más" y "cuántos menos", usando la información presentada en los gráficos de barras a escala.</t>
  </si>
  <si>
    <t>ISTE</t>
  </si>
  <si>
    <t>5b - Students collect data or identify relevant data sets, use digital tools to analyze them, and represent data in various ways to facilitate problem-solving and decision-making.</t>
  </si>
  <si>
    <t>5b. Los estudiantes pueden recopilar datos o identificar conjuntos de datos relevantes, utilizando herramientas  digitales para analizarlos y representar los datos de diversas formas, para facilitar la resolución de problemas y la toma de decisiones.</t>
  </si>
  <si>
    <t>REFLECTION</t>
  </si>
  <si>
    <t>REFLEXIÓN</t>
  </si>
  <si>
    <t xml:space="preserve">Have students complete the Student Journal and use their responses in a group discussion to summarize the lesson. </t>
  </si>
  <si>
    <t>Impulsa a tus estudiantes a que complementen el diario del estudiante y usen sus respuestas en una discusión grupal, para resumir la lección.</t>
  </si>
  <si>
    <t>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t>
  </si>
  <si>
    <t>¡Hola! este diario del estudiante, te permitirá mantener y registrar tus respuestas y pensamientos a las preguntas que se plantean en la actividad del libro de excel. En la actividad, al final de cada página, se te hará una pregunta, la cual debes responder ahí mismo. Una vez que hayas terminado, puedes imprimir o enviar por correo electrónico, este documento a tu maestro, como evidencia de tu gran trabajo. ¡Buena suerte!</t>
  </si>
  <si>
    <t>Find the questions in columns D and K.</t>
  </si>
  <si>
    <t>Encuentra las respuestas en la columnas D y K</t>
  </si>
  <si>
    <t>Name</t>
  </si>
  <si>
    <t>Nombre</t>
  </si>
  <si>
    <t>Date</t>
  </si>
  <si>
    <t>Fecha</t>
  </si>
  <si>
    <t>Class</t>
  </si>
  <si>
    <t>Clase</t>
  </si>
  <si>
    <t>Hello! This Student Journal will allow you to keep and record your answers and thoughts to questions inside the Excel workbook activity. At the conclusion of each activity page you will be asked a question that you can answer here. When you are done you can PRINT to PDF or SAVE this document to send to your teacher as evidence of your hard work. Good Luck!</t>
  </si>
  <si>
    <t>Tab 1</t>
  </si>
  <si>
    <t>Please list three types of data.  For each type of data provide an example.</t>
  </si>
  <si>
    <t>Enumera tres tipos de datos. Para cada tipo de datos, proporciona un ejemplo.</t>
  </si>
  <si>
    <t>Tab 2</t>
  </si>
  <si>
    <t xml:space="preserve">What is some data you could collect about a rocket by looking at a picture of it? </t>
  </si>
  <si>
    <t>¡Qué datos podrías recopilar sobre un cohete, mirando una foto del mismo?</t>
  </si>
  <si>
    <t>Tab 3</t>
  </si>
  <si>
    <t>Why would you put your data into a table?</t>
  </si>
  <si>
    <t>¿Por qué pondrías tus datos en una tabla?</t>
  </si>
  <si>
    <t>Tab 4</t>
  </si>
  <si>
    <t>How does sorting data make it easier to get the information you want? Give an example:</t>
  </si>
  <si>
    <t>¿De qué manera la clasificación de datos, puede facilitarte la obtención de la información que deseas? Da un ejemplo.</t>
  </si>
  <si>
    <t>Tab 5</t>
  </si>
  <si>
    <t xml:space="preserve">What was easier for you to use, the table or the chart for looking at rocket data?  Explain. </t>
  </si>
  <si>
    <t>¿Qué te resultó más fácil de usar, la tabla o el gráfico para buscar los datos de los cohetes? Explica por qué?</t>
  </si>
  <si>
    <t>Tab 6</t>
  </si>
  <si>
    <t>What are some other types of data that astronauts use?</t>
  </si>
  <si>
    <t>¿Qué otros tipos de datos utilizan los astronautas?</t>
  </si>
  <si>
    <t>Conclusion</t>
  </si>
  <si>
    <t>Conclusión</t>
  </si>
  <si>
    <t>What other thoughts do you have about data, outer space or rockets that you would like to share with the class?  Do you have an idea that you would like to draw?  You can do that here or look at the lesson extension tab for a postcard activity from Blue Origin's Club for the Future :)</t>
  </si>
  <si>
    <t>¿Qué otros pensamientos se te vienen a la mente acerca de los datos, el espacio exterior o los cohetes, que te gustaría compartir con tu clase? ¿Tienes alguna idea que te gustaría dibujar? Puedes hacerlo aquí o en la pestaña de extensión de la lección, en dónde podrás ver la actividad de la postal del Blue orgini´s club for the future.</t>
  </si>
  <si>
    <t>How Astronauts Visualize Data</t>
  </si>
  <si>
    <t>Cómo los astronautas visualizan los datos</t>
  </si>
  <si>
    <t>Hacking STEM is excited to partner with NASA to bring you the Day of Data, where you can explore how data powers our astronauts, our space missions, and our world. This self-paced Excel activity introduces you to visualizing data using charts.</t>
  </si>
  <si>
    <t xml:space="preserve">You will work with a variety of data sets related to space, and investigate the types of charts that best help to analyze and understand the data. Complete all of the activities to earn a Space Data Badge. Good luck! </t>
  </si>
  <si>
    <t>Trabajarás con una variedad de conjuntos de datos relacionados con el espacio, e investigarás los tipos de gráficos que mejor ayuden a analizar y comprender los datos. Completa todas las actividades para ganar una insignia de datos espaciales. ¡Buena suerte!</t>
  </si>
  <si>
    <t>In addition, join our live events on October 14th at 10am PDT and November 2nd at 10AM PST to hear from NASA astronauts and rocket engineers.  Our guest speakers will answer questions, share personal stories, and discuss how data impacts their careers. Have fun!</t>
  </si>
  <si>
    <t>Únete a nuestros eventos en vivo el 14 de octubre a las 10 a.m. PDT y el 2 de noviembre a las 10 a.m. PST para escuchar a los Astronautas e Ingenieros de cohetes de la NASA. Nuestros oradores invitados responderán preguntas, compartirán historias personales y discutirán cómo los datos impactan sus carreras. ¡Que te diviertas!</t>
  </si>
  <si>
    <t xml:space="preserve">How astronauts visualize data, in partnership with NASA </t>
  </si>
  <si>
    <t>Cómo los astronautas visualizan los datos, en colaboración con la NASA</t>
  </si>
  <si>
    <t xml:space="preserve">Hacking STEM is excited to partner with NASA to bring you the Day of Data, where you can explore how data powers our astronauts, our space missions, and our world. This self-paced Excel activity introduces you to visualizing data using charts. You will work with a variety of data sets related to space, and investigate the types of charts that best help to analyze and understand the data. Complete all of the activities to earn a space data badge. Good luck! </t>
  </si>
  <si>
    <t>Hacking STEM se complace en asociarse con la NASA para traerte el Día de los Datos, donde puedes explorar cómo los datos impulsan a nuestros Astronautas, nuestras misiones espaciales y nuestro mundo. Esta actividad de Excel,  que vas avanzando a tu propio ritmo, te presenta la visualización de datos mediante gráficos. Trabajarás con una variedad de conjuntos de datos relacionados con el espacio, e investigarás los tipos de gráficos que te ayuden a analizar y comprender los datos. Completa todas las actividades para ganar una insignia de datos espaciales. ¡Buena suerte!</t>
  </si>
  <si>
    <t>In addition, join live events on October 14th at 10am PDT and November 2nd at 10am PST to hear from NASA astronauts and rocket scientists! Speakers will share personal stories, discuss how they use data and the impact on their job, and answer questions. Go to aka.ms/DayOfDataEvent to join. Have fun!</t>
  </si>
  <si>
    <t>Hello and welcome to your data discovery adventure! Scientists use data to solve problems and gain insights to understand and improve space travel. In this activity, explore space data through different types of visualizations to gain your OWN insights!</t>
  </si>
  <si>
    <t>¡Hola y bienvenido a tu aventura de descubrimiento de datos! Los científicos usan datos para resolver problemas y obtener información para comprender y mejorar los viajes espaciales. En esta actividad, explora los datos espaciales a través de diferentes tipos de visualizaciones para obtener tus PROPIOS conocimientos.</t>
  </si>
  <si>
    <t>Use the Table of Contents in cells D10 to E20 to orient yourself to the lesson. Then, when you are ready to begin, press Ctrl key plus page down key to go on to the next page.</t>
  </si>
  <si>
    <t>Utiliza el índice en las celdas D10 a E20 para orientarte en la lección. Luego, cuando estés listo para comenzar, presiona la tecla Ctrl más la tecla de avance de página para pasar a la página siguiente.</t>
  </si>
  <si>
    <t>Scientists use data to solve problems and gain insights to understand and improve space travel. In this activity, explore space data through different types of visualizations to gain your OWN insights!</t>
  </si>
  <si>
    <t xml:space="preserve">Los científicos usan datos para resolver problemas y obtener información para comprender y mejorar los viajes espaciales. En esta actividad, explora los datos espaciales a través de diferentes tipos de visualizaciones para obtener tus PROPIOS conocimientos.
</t>
  </si>
  <si>
    <t>1. Visualizing Data</t>
  </si>
  <si>
    <t>1.- Visualización de Datos</t>
  </si>
  <si>
    <t>2. Visualizing with Size</t>
  </si>
  <si>
    <t>2.- Visualización con Tamaño</t>
  </si>
  <si>
    <t>3. Visualizing with Color</t>
  </si>
  <si>
    <t>3.- Visualización con Color</t>
  </si>
  <si>
    <t>4. Visualizing with Position</t>
  </si>
  <si>
    <t>4.- Visualización con Posición</t>
  </si>
  <si>
    <t>5. Visualizing with Complexity</t>
  </si>
  <si>
    <t>5.- Visualización con Complejidad</t>
  </si>
  <si>
    <t>Activity 1: why we visualize data</t>
  </si>
  <si>
    <t>Actividad 1: ¿Por qué visualizamos los datos?</t>
  </si>
  <si>
    <t>Activity 2: why we use column charts</t>
  </si>
  <si>
    <t>Actividad 2: ¿Por qué utilizamos tablas de contenidos ?</t>
  </si>
  <si>
    <t>Activity 3: why we use stacked column charts</t>
  </si>
  <si>
    <t>Actividad 3: ¿Por qué usamos gráficos de columnas amontonadas?</t>
  </si>
  <si>
    <t>Activity 4: why we use scatter charts</t>
  </si>
  <si>
    <t>Actividad 4: ¿Por qué usamos gráficos de dispersión?</t>
  </si>
  <si>
    <t>Activity 5: why we use area charts</t>
  </si>
  <si>
    <t>Actividad 5: ¿Por qué usamos gráficos de área?</t>
  </si>
  <si>
    <t>When you successfully complete each activity, a green NEXT button will appear. Select it to move on to the next activity. Completion of all activities will earn you a Space Data Badge.</t>
  </si>
  <si>
    <t>Cuando completas con éxito cada actividad, aparecerá un botón verde SIGUIENTE. Selecciónalo para pasar a la siguiente actividad. Si completas todas las actividades, otendrás una insignia de datos espaciales.</t>
  </si>
  <si>
    <t>Inside each activity you will find blue bordered boxes like this.  Select these to move through each of the activities.</t>
  </si>
  <si>
    <t>Dentro de cada actividad encontrarás cuadros con bordes azules como este. Selecciona estos para moverte por cada una de las actividades.</t>
  </si>
  <si>
    <t>Teacher Lesson Plan – How Astronauts Visualize Data</t>
  </si>
  <si>
    <t>Plan de estudios del profesor: cómo visualizan los datos los astronautas</t>
  </si>
  <si>
    <t>In this lesson, students explore the importance of data as it relates to our astronauts, our space missions, and our world. This self-paced Excel Online activity introduces students to visualizing data using charts. Students will work with a variety of data sets related to space and and investigate the types of charts that best help them analyze and understand the data. Complete the five mini-lessons to secure a Space Data Badge.</t>
  </si>
  <si>
    <t>En esta lección, los estudiantes exploran la importancia de los datos en lo que respecta a nuestros astronautas, nuestras misiones espaciales y nuestro mundo. Esta actividad de Excel Online que realizas a tu propio ritmo, introduce a los estudiantes a visualizar datos usando gráficos. Los estudiantes trabajarán con una variedad de conjuntos de datos, relacionados con el espacio e investigarán los tipos de gráficos que  los ayuden a analizar y comprender los datos de mejor manera. Completa las cinco mini lecciones para asegurar un reconocimiento de datos espaciales.</t>
  </si>
  <si>
    <t>Use different types of data visualizations to analyze and interpret information related to space.</t>
  </si>
  <si>
    <t>Utiliza diferentes tipos de visualizaciones de datos para analizar e interpretar información relacionada con el espacio.</t>
  </si>
  <si>
    <t>Open the How Astronauts Visualize Data workbook and familiarize yourself with how to use it by reading the information in the Contents worksheet of the workbook.</t>
  </si>
  <si>
    <t>Abre el libro "Cómo visualizan los datos los astronautas" y familiarízate en cómo usarlo leyendo la información en la hoja de trabajo Contenido del libro.</t>
  </si>
  <si>
    <t>Have students complete the Club for the Future lesson located in the Extensions worksheet of the How Astronauts Visualize Data Excel Online workbook.</t>
  </si>
  <si>
    <t>Haz que los estudiantes completen la lección Club para el futuro, que se encuentra en la hoja de trabajo Extensiones del libro de trabajo, de Cómo los astronautas visualizan datos en Excel en línea.</t>
  </si>
  <si>
    <t>MS-ESS1-3. Analyze and interpret data to determine similarities and differences in findings.</t>
  </si>
  <si>
    <t>MS-ESS1-3. Analizar e interpretar datos para determinar similitudes y diferencias en los hallazgos.</t>
  </si>
  <si>
    <t>CCSS.MATH.CONTENT.7.RP.A.2</t>
  </si>
  <si>
    <t>CCSS.Contenido de matemáticas.7.RP.A.2</t>
  </si>
  <si>
    <t>Recognize and represent proportional relationships between quantities.</t>
  </si>
  <si>
    <t xml:space="preserve">Reconocimiento y representación proporcional de relaciones entre iguales. </t>
  </si>
  <si>
    <t>Find the questions in column D.</t>
  </si>
  <si>
    <t>Encuentra las preguntas en la columna D.</t>
  </si>
  <si>
    <t>Please list four types of charts. Which of these charts is the most interesting to you? Explain why!</t>
  </si>
  <si>
    <t>Enumera cuatro tipos de gráficos. ¿Cuál de estos gráficos te resulta más interesante? ¡Explica por qué!</t>
  </si>
  <si>
    <t xml:space="preserve">Why do you think payloads of rockets are increasing in mass? </t>
  </si>
  <si>
    <t>¿Por qué crees que las cargas útiles de los cohetes aumentan en masa?</t>
  </si>
  <si>
    <t xml:space="preserve">What do you think are the best colors to use in a chart? Explain your answer. </t>
  </si>
  <si>
    <t>¿Cuáles crees que son los mejores colores para usar en un gráfico? Explica tu respuesta.</t>
  </si>
  <si>
    <t>Why do you think it is important to be able to predict the future using data with trendlines? Give an example:</t>
  </si>
  <si>
    <t>¿Por qué crees que es importante, poder predecir el futuro utilizando datos con líneas de tendencia? Dar un ejemplo:</t>
  </si>
  <si>
    <t>What are the benefits of looking at the connections between multiple pieces of information at one time?</t>
  </si>
  <si>
    <t>¿Cuáles son los beneficios de observar las conexiones entre múltiples piezas de información al mismo tiempo?</t>
  </si>
  <si>
    <t>Ariane 5 ECA</t>
  </si>
  <si>
    <t>Ariane 5G</t>
  </si>
  <si>
    <t>Atlas V 551</t>
  </si>
  <si>
    <t>Falcon 9</t>
  </si>
  <si>
    <t>H-IIA</t>
  </si>
  <si>
    <t>SLS</t>
  </si>
  <si>
    <t>Soyuz-2</t>
  </si>
  <si>
    <t>Year</t>
  </si>
  <si>
    <t>Año</t>
  </si>
  <si>
    <t>Launch Cost</t>
  </si>
  <si>
    <t>Costo de lanzamiento</t>
  </si>
  <si>
    <t>Payload</t>
  </si>
  <si>
    <t>Carga útil</t>
  </si>
  <si>
    <t>Dry mass</t>
  </si>
  <si>
    <t>Secado masivo</t>
  </si>
  <si>
    <t>Propellant</t>
  </si>
  <si>
    <t>Propulsor</t>
  </si>
  <si>
    <t>$/kg</t>
  </si>
  <si>
    <t>Payload-dry mass</t>
  </si>
  <si>
    <t>Costo de lanzamiento-secado masivo</t>
  </si>
  <si>
    <t>Payload (kg)</t>
  </si>
  <si>
    <t>Costo de lanzamiento (kg)</t>
  </si>
  <si>
    <t>Dry mass (kg)</t>
  </si>
  <si>
    <t>Secado masivo (kg)</t>
  </si>
  <si>
    <t>Fuel (kg)</t>
  </si>
  <si>
    <t>Combustible (kg)</t>
  </si>
  <si>
    <t>What is a column chart?</t>
  </si>
  <si>
    <t>¿Qué es un gráfico de columnas?</t>
  </si>
  <si>
    <t>What is rocket payload?</t>
  </si>
  <si>
    <t>¿Qué es la carga útil del cohete?</t>
  </si>
  <si>
    <t>Organizing your chart</t>
  </si>
  <si>
    <t>Organiza tu gráfico.</t>
  </si>
  <si>
    <t>Text1</t>
  </si>
  <si>
    <t>Texto1</t>
  </si>
  <si>
    <t>A column chart is a way to visualize data that uses the size of vertical bars to quickly show a value. The brain can interpret differences in sizes faster than in numbers, and a column chart utilizes this to great effect.</t>
  </si>
  <si>
    <t>Un gráfico de columnas es una forma de visualizar datos que usa el tamaño de barras verticales para mostrar rápidamente un valor. El cerebro puede interpretar las diferencias de tamaño más rápido que en números, y un gráfico de columnas utiliza esto con gran eficacia.</t>
  </si>
  <si>
    <t>The crew and/ or cargo that is carried into space by a rocket is called the payload. Here you can compare the differences in payload mass for 9 different rockets.</t>
  </si>
  <si>
    <t>La tripulación y / o la carga que se transporta al espacio mediante un cohete se denomina carga útil. Aquí puedes comparar las diferencias en la masa de carga útil para 9 cohetes diferentes.</t>
  </si>
  <si>
    <t>Charts are made from data in the table. You can rearrange the chart by SORTING your data, using the small gray "filter" button in the column heading. Sort the Launch Year in ASCENDING order (smallest to largest) to see how it changes the chart!</t>
  </si>
  <si>
    <t>Los gráficos se elaboran a partir de los datos de la tabla. Puedes reorganizar el gráfico ORDENANDO tus datos, usando el pequeño botón gris de "filtro" en el encabezado de la columna. Ordena el año de lanzamiento en orden ASCENDENTE (de menor a mayor) para ver cómo cambia el gráfico.</t>
  </si>
  <si>
    <t>Text2</t>
  </si>
  <si>
    <t>Texto2</t>
  </si>
  <si>
    <t>A column chart is a way to visualize data that uses the size of boxes to quickly show a value. The data on this chart is simply a visualization of the table below it, but shown in a way that is easier for a person to interpret.</t>
  </si>
  <si>
    <t>Un gráfico de columnas es una forma de visualizar datos que usa el tamaño de los cuadros para mostrar rápidamente un valor. Los datos de este gráfico son simplemente una visualización de la tabla que se encuentra debajo, Pero se muestran de una manera que es más fácil de interpretar para una persona.</t>
  </si>
  <si>
    <t xml:space="preserve">A payload for a rocket is the cargo, crew, or other objects carried to space. </t>
  </si>
  <si>
    <t>La carga útil de un cohete es la carga, la tripulación u otros objetos que se llevan al espacio.</t>
  </si>
  <si>
    <t>What is a stacked column chart?</t>
  </si>
  <si>
    <t>¿Qué es un gráfico de columnas amontonadas?</t>
  </si>
  <si>
    <t>Rocket mass proportions</t>
  </si>
  <si>
    <t xml:space="preserve">
Proporciones de masa de cohetes</t>
  </si>
  <si>
    <t>Payload-structure comparison</t>
  </si>
  <si>
    <t>Comparación de la estructura de la carga útil</t>
  </si>
  <si>
    <t>A stacked column chart allows proportional comparisons between items by adding COLOR. Each colored section in a column represents a percentage of the total being measured.</t>
  </si>
  <si>
    <t>Un gráfico de columnas amontonadas permite comparaciones proporcionales entre elementos agregando COLOR. Cada sección coloreada de una columna representa un porcentaje del total que se mide.</t>
  </si>
  <si>
    <t>The total mass of a rocket can be divided into three categories; fuel, structure and payload. As you can see, the largest proportion of a rocket's mass is fuel, followed by its structure and then payload.</t>
  </si>
  <si>
    <t>La masa total de un cohete se puede dividir en tres categorías; combustible, estructura y carga útil. Como puedes ver, la mayor proporción de la masa de un cohete es combustible, seguida de su estructura y luego su carga útil.</t>
  </si>
  <si>
    <t>In this chart, we have removed the fuel mass category to compare only the rocket structure and payload masses. Sort the launch year category in ASCENDING order. Notice how the proportions change over time.</t>
  </si>
  <si>
    <t>En este gráfico, hemos eliminado la categoría de masa de combustible para comparar solo la estructura del cohete y las masas de carga útil. Ordena la categoría del año de lanzamiento en orden ASCENDENTE. Observa cómo cambian las proporciones con el tiempo.</t>
  </si>
  <si>
    <t>What is a scatter chart?</t>
  </si>
  <si>
    <t>¿Qué es un gráfico de dispersión?</t>
  </si>
  <si>
    <t>Using trendlines</t>
  </si>
  <si>
    <t>Usando líneas de tendencia.</t>
  </si>
  <si>
    <t>Forecasting</t>
  </si>
  <si>
    <t>Pronóstico</t>
  </si>
  <si>
    <t>Scatter charts allow for patterns in the data to be visualized. With each dot representing the POSITION of  each data point, trends can be found and used to predict future outcomes!</t>
  </si>
  <si>
    <t>Los gráficos de dispersión permiten visualizar patrones en los datos. ¡Con cada punto que representa la POSICIÓN de cada punto de datos, las tendencias se pueden encontrar y usar para predecir resultados futuros!</t>
  </si>
  <si>
    <t>A key method to see patterns in a scatter plot is to use a TRENDLINE. A trendline is line that "best fits" between all of the points on the chart. Look how this linear best fit trendline is lined up along the points revealing a relationship between year and cost!</t>
  </si>
  <si>
    <t>Un método clave para ver patrones en un diagrama de dispersión es usar una LÍNEA DE TENDENCIA. Una línea de tendencia es la línea que "encaja mejor" entre todos los puntos del gráfico. ¡Mira cómo esta línea de tendencia lineal de mejor ajuste se alinea a lo largo de los puntos que revelan una relación entre año y costo!</t>
  </si>
  <si>
    <t>Once your chart has a trendline, you can use it to 'forecast' (or predict) that pattern into the future. Forecasting can also help see if the pattern makes sense going forward.</t>
  </si>
  <si>
    <t>Una vez que tu gráfico tenga una línea de tendencia, puedes usarlo para "pronosticar" (o predecir) ese patrón en el futuro. La previsión también puede ayudar a ver si el patrón tiene sentido en el futuro.</t>
  </si>
  <si>
    <t>What is a chart?</t>
  </si>
  <si>
    <t>¿Qué hay en el gráfico?</t>
  </si>
  <si>
    <t>Column charts</t>
  </si>
  <si>
    <t>Columnas de gráficos</t>
  </si>
  <si>
    <t>100% stacked column charts</t>
  </si>
  <si>
    <t>Columnas de gráficos 100% amontonadas</t>
  </si>
  <si>
    <t>Scatter charts</t>
  </si>
  <si>
    <t>Gráficos de dispersión</t>
  </si>
  <si>
    <t>Stacked area charts</t>
  </si>
  <si>
    <t>Gráficos de áreas amontonados</t>
  </si>
  <si>
    <t>A chart is a visual representation of data from a worksheet that can help you understand more from the data than just using numbers.</t>
  </si>
  <si>
    <t>Un gráfico es una representación visual de datos de una hoja de trabajo que puede ayudarte a comprender más a partir de los datos que solo usar números.</t>
  </si>
  <si>
    <t>Data that is arranged in columns or rows on a worksheet can be organized in a column chart. These charts are helpful when comparing categories (typically text names) by their value.</t>
  </si>
  <si>
    <t>Los datos que se organizan en columnas o filas en una hoja de trabajo, se pueden organizar en un gráfico de columnas. Estos gráficos son útiles al comparar categorías (normalmente nombres de texto) por su valor.</t>
  </si>
  <si>
    <t>A 100% stacked column chart shows values in columns that are stacked on top of each other to represent 100%. Use this chart when you want to compare the contributions to the whole, such as sections of a rocket!</t>
  </si>
  <si>
    <t>A scatter chart is handy when you have two sets of value data and you are curious what trends there are between them. These trends can help predict future data as well.</t>
  </si>
  <si>
    <t xml:space="preserve">Un gráfico de dispersión es útil cuando tiene dos conjuntos de datos de valor y tiene curiosidad sobre las tendencias que existen entre ellos. Estas tendencias también pueden ayudar a predecir datos futuros.
</t>
  </si>
  <si>
    <t>Stacked area charts show patterns in the contribution of each value over time (or other category), which helps you tell how the different categories change!</t>
  </si>
  <si>
    <t>Los gráficos de áreas apiladas muestran patrones en la contribución de cada valor a lo largo del tiempo (u otra categoría), lo que le ayuda a saber cómo cambian las diferentes categorías.</t>
  </si>
  <si>
    <t>Excel has a wide variety of charts that can be used to generate insights.</t>
  </si>
  <si>
    <t>Excel tiene una amplia variedad de gráficos que se pueden usar para generar información.</t>
  </si>
  <si>
    <t>SIZE tells the story with column charts. Notice how it is labeled. Names and values indicate what the data is, while the axis and chart titles provide context.</t>
  </si>
  <si>
    <t>TAMAÑO cuenta la historia con gráficos de columnas. Observa cómo está etiquetado. Los nombres y valores indican cuáles son los datos, mientras que los títulos de los ejes y gráficos proporcionan contexto.</t>
  </si>
  <si>
    <t>Notice how this column chart introduces COLOR. While it has the same x axis, it adds color to represent different componets. The legend is used to show what the colors represent.</t>
  </si>
  <si>
    <t>Observa cómo este gráfico de columnas presenta COLOR. Si bien tiene el mismo eje x, agrega color para representar diferentes componentes. La leyenda se usa para mostrar lo que representan los colores.</t>
  </si>
  <si>
    <t>Notice how a scatter chart has two value axes: a horizontal x-axis (Year) and a vertical y-axis (Cost). It combines those x and y POSITIONS into points, which can then be used to find patterns, or 'relationships'.</t>
  </si>
  <si>
    <t>Observa cómo un gráfico de dispersión tiene dos ejes de valor: un eje x horizontal (año) y un eje y vertical (costo). Combina esas POSICIONES x / y en puntos, que luego se pueden usar para encontrar patrones o 'relaciones'.</t>
  </si>
  <si>
    <t>Notice how SIZE, COLOR, AND POSITION all play a role in the stacked area chart. Color separates the who area into different pieces, with vertical size showing the 'value' while the horizontal position indicates the timeframe.</t>
  </si>
  <si>
    <t>Observa cómo el TAMAÑO, EL COLOR Y LA POSICIÓN juegan un papel en el gráfico de áreas amontonadas. El color separa el área de quién en diferentes partes, con el tamaño vertical que muestra el 'valor' mientras que la posición horizontal indica el período de tiempo.</t>
  </si>
  <si>
    <t>The vertical axis shows the value of the data through SIZE.</t>
  </si>
  <si>
    <t>El eje vertical muestra el valor de los datos a través de TAMAÑO</t>
  </si>
  <si>
    <t>The vertical axis shows proportion with different COLOR segments.</t>
  </si>
  <si>
    <t>El eje vertical muestra la proporción con diferentes segmentos de COLOR</t>
  </si>
  <si>
    <t>The vertical axis shows the POSITION of the values on the y-axis.</t>
  </si>
  <si>
    <t>El eje vertical muestra la POSICIÓN de los valores en el eje y.</t>
  </si>
  <si>
    <t>The vertical axis shows the SIZE of the values, with the categories separated by COLOR.</t>
  </si>
  <si>
    <t>El eje vertical muestra el TAMAÑO de los valores, con las categorías separadas por COLOR.</t>
  </si>
  <si>
    <t>The horizontal axis separates the values by their category.</t>
  </si>
  <si>
    <t>El eje horizontal separa los valores por su categoría.</t>
  </si>
  <si>
    <t>The horizontal axis shows the POSITION of the values on the x-axis.</t>
  </si>
  <si>
    <t>El eje horizontal muestra la POSICIÓN de los valores en el eje x.</t>
  </si>
  <si>
    <t>The horizontal axis shows the categories or the POSITION of the time values.</t>
  </si>
  <si>
    <t>El eje horizontal muestra las categorías o la POSICIÓN de los valores de tiempo.</t>
  </si>
  <si>
    <t>Earth Orbit</t>
  </si>
  <si>
    <t>Órbita terrestre</t>
  </si>
  <si>
    <t>Lunar Mission</t>
  </si>
  <si>
    <t>Misión Lunar</t>
  </si>
  <si>
    <t>Other Space Station</t>
  </si>
  <si>
    <t>Otra Estación Espacial</t>
  </si>
  <si>
    <t>Mir Space Station</t>
  </si>
  <si>
    <t>MIR Estación Espacial</t>
  </si>
  <si>
    <t>International Space Station</t>
  </si>
  <si>
    <t>Estación Espacial Internacional</t>
  </si>
  <si>
    <t>What is an area chart?</t>
  </si>
  <si>
    <t>¿Qué es un gráfico de áreas?</t>
  </si>
  <si>
    <t>Visualizing with area</t>
  </si>
  <si>
    <t>Visualizando con área</t>
  </si>
  <si>
    <t>Crewed missions</t>
  </si>
  <si>
    <t>Misiones tripuladas</t>
  </si>
  <si>
    <t>Stacking with color</t>
  </si>
  <si>
    <t>Amontonamiento con color</t>
  </si>
  <si>
    <t>Where have we gone?</t>
  </si>
  <si>
    <t>¿ A Dónde hemos ido?</t>
  </si>
  <si>
    <t>People Sent to Space</t>
  </si>
  <si>
    <t>Personas enviadas al espacio</t>
  </si>
  <si>
    <t>Time in Space</t>
  </si>
  <si>
    <t>Tiempo en espacio</t>
  </si>
  <si>
    <t>Area chart</t>
  </si>
  <si>
    <t>Gráfico de áreas</t>
  </si>
  <si>
    <t>Crewed missions to space</t>
  </si>
  <si>
    <t>Misiones tripuladas al espacio</t>
  </si>
  <si>
    <t>Stacked area chart</t>
  </si>
  <si>
    <t>Gráfico de áreas amontonadas</t>
  </si>
  <si>
    <t>The goal of an area chart, like the one seen here, is to show the change over time of a set of data. It takes visualization features found in both column and scatter charts to illustrate data in a new manner.</t>
  </si>
  <si>
    <t>El objetivo de un gráfico de áreas, como el que se ve aquí, es mostrar el cambio en el tiempo de un conjunto de datos. Se necesitan funciones de visualización que se encuentran tanto en gráficos de columnas, como en gráficos de dispersión para ilustrar los datos de una manera nueva.</t>
  </si>
  <si>
    <t>While column charts primarily show the data through SIZE, and scatter charts through differences in POSITION, an area chart combines the two illustrating how the SIZE of the shaded area changes with POSITION.</t>
  </si>
  <si>
    <t>Mientras que los gráficos de columnas muestran principalmente los datos a través del TAMAÑO y los gráficos de dispersión a través de las diferencias en POSICIÓN, un gráfico de áreas combina los dos, que ilustran cómo el TAMAÑO del área sombreada cambia con POSICIÓN.</t>
  </si>
  <si>
    <t>In this particular area chart, we see how often we have launched a "crewed mission" for each of the last 6 decades. A crewed mission is any mission to space that carries people.</t>
  </si>
  <si>
    <t>En este gráfico de áreas en particular, vemos con qué frecuencia, hemos lanzado una "misión con tripulación" para cada una de las últimas 6 décadas. Una misión tripulada es cualquier misión al espacio que transporta personas.</t>
  </si>
  <si>
    <t>Introducing COLOR to this area chart allows the visual to split into smaller components, like pieces of a puzzle. While the original area chart illustrated the change, splitting the chart into "pieces" focuses on the destination of the crewed missions over time.</t>
  </si>
  <si>
    <t>La introducción de COLOR en este gráfico de áreas, permite que lo visual se divida en componentes más pequeños, como piezas de un rompecabezas. Si bien el gráfico de área original ilustra el cambio, dividir el gráfico en "partes" se centra en el destino de las misiones tripuladas a lo largo del tiempo.</t>
  </si>
  <si>
    <t>Splitting destinations into these five categories illustrates our history of both lunar travel, and extended space travel. Space stations are habitats in space where crews can live for long periods of time. The ISS has now had a person in space constantly for the last 20 years!</t>
  </si>
  <si>
    <t>Dividir los destinos en estas cinco categorías ilustra nuestra historia tanto de viajes lunares como de viajes espaciales prolongados. Las estaciones espaciales son hábitats en el espacio donde las tripulaciones pueden vivir durante largos períodos de tiempo. ¡La ISS ha tenido una persona en el espacio constantemente durante los últimos 20 años!</t>
  </si>
  <si>
    <t>While the earliest spacecraft flew with just a single crewmember inside, most missions now include 2-4 people. The current record is 8 people carried to space on the same spacecraft!</t>
  </si>
  <si>
    <t>Si bien la primera nave espacial voló con un solo miembro de la tripulación adentro, la mayoría de las misiones ahora incluyen de 2 a 4 personas. ¡El récord actual es de 8 personas llevadas al espacio en la misma nave espacial!</t>
  </si>
  <si>
    <t>While the destinations of crewed missions have changed, so have their time in space. This chart adds all the days in space of the different explorers for each decade.</t>
  </si>
  <si>
    <t>Si bien los destinos de las misiones tripuladas han cambiado, también lo ha hecho su tiempo en el espacio. Esta tabla suma todos los días en el espacio, de los diferentes exploradores para cada década.</t>
  </si>
  <si>
    <t>Crewed spacecraft launched</t>
  </si>
  <si>
    <t>Lanzamiento de una nave espacial tripulada</t>
  </si>
  <si>
    <t>People in space</t>
  </si>
  <si>
    <t>Personas en el espacio</t>
  </si>
  <si>
    <t>Human days in space</t>
  </si>
  <si>
    <t>Días humanos en el espacio</t>
  </si>
  <si>
    <t>Crewed spacecraft launched by decade and destination</t>
  </si>
  <si>
    <t>Nave espacial tripulada lanzada por década y destino</t>
  </si>
  <si>
    <t>People in space by decade and destination</t>
  </si>
  <si>
    <t>Personas en el espacio por década y destino</t>
  </si>
  <si>
    <t>Human days in space by decade and destination</t>
  </si>
  <si>
    <t>Días humanos en el espacio por década y destino</t>
  </si>
  <si>
    <t>Decade</t>
  </si>
  <si>
    <t>Década</t>
  </si>
  <si>
    <t>Destination</t>
  </si>
  <si>
    <t>Destino</t>
  </si>
  <si>
    <t>year Dest</t>
  </si>
  <si>
    <t>Año Dest</t>
  </si>
  <si>
    <t>Mission</t>
  </si>
  <si>
    <t>Misión</t>
  </si>
  <si>
    <t>People</t>
  </si>
  <si>
    <t>Personas</t>
  </si>
  <si>
    <t>Time</t>
  </si>
  <si>
    <t>Tiempo</t>
  </si>
  <si>
    <t>Question</t>
  </si>
  <si>
    <t>Pregunta</t>
  </si>
  <si>
    <t>Answer</t>
  </si>
  <si>
    <t>Respuesta</t>
  </si>
  <si>
    <t>Shown text</t>
  </si>
  <si>
    <t>Texto mostrado</t>
  </si>
  <si>
    <t>Q1. Which chart can be used to visualize and calculate the trend in a set of values?</t>
  </si>
  <si>
    <t>Q1. ¿Qué gráfico se puede utilizar para visualizar y calcular la tendencia en un conjunto de valores?</t>
  </si>
  <si>
    <t>Q2. Which rocket could carry the THIRD largest payload?</t>
  </si>
  <si>
    <t>Q2. ¿Qué cohete podría transportar la TERCERA carga útil más grande?</t>
  </si>
  <si>
    <t>Q3. Which rocket has the best payload to structure ratio for sending cargo into space?</t>
  </si>
  <si>
    <t>Q3. ¿Qué cphete tiene la mejor relación carga útil/ estructura, para enviar carga al espacio?</t>
  </si>
  <si>
    <t>Q4. Using the given trendline, what could the Cost per kg be in 2025?</t>
  </si>
  <si>
    <t>Q4. Usando la línea de tendencia dada, ¿cuál podría ser el costo por kg en 2025?</t>
  </si>
  <si>
    <t>Q5. Using the chart, in which decade did the most people fly to space?</t>
  </si>
  <si>
    <t>Q5. Utilizando el gráfico, ¿en qué década la mayoría de personas volaron al espacio?</t>
  </si>
  <si>
    <t>Q6. Using the chart, in which decade did people spend the most time in space?</t>
  </si>
  <si>
    <t>Q6. Utilizando el gráfico, ¿en qué década las personas pasaron más tiempo en el espacio?</t>
  </si>
  <si>
    <t>Correct!</t>
  </si>
  <si>
    <t>¡Correcto!</t>
  </si>
  <si>
    <t>Try again!</t>
  </si>
  <si>
    <t>¡Intenta de nuevo!</t>
  </si>
  <si>
    <t>Keep going to get your Space Data Badge!</t>
  </si>
  <si>
    <t>¡Sigue obteniendo tu insiginia de datos espaciales!</t>
  </si>
  <si>
    <t>Column chart</t>
  </si>
  <si>
    <t>Gráfico de columnas</t>
  </si>
  <si>
    <t>Stacked column</t>
  </si>
  <si>
    <t>Columna amontonada</t>
  </si>
  <si>
    <t>Scatter chart</t>
  </si>
  <si>
    <t>Gráfico de dispersión</t>
  </si>
  <si>
    <t>Pie chart</t>
  </si>
  <si>
    <t>Gráfico circular</t>
  </si>
  <si>
    <t>CONGRATULATIONS!</t>
  </si>
  <si>
    <t>¡Felicidades!</t>
  </si>
  <si>
    <t>Keep answering questions!</t>
  </si>
  <si>
    <t>¡Continua respondiendo las preguntas!</t>
  </si>
  <si>
    <t>Visualizing data through charts</t>
  </si>
  <si>
    <t xml:space="preserve">
Visualizando de datos a través de gráficos</t>
  </si>
  <si>
    <t>From rockets to explorers, there is so much data around space! Learn how different charts can help you gain insights into space travel.</t>
  </si>
  <si>
    <t>Desde cohetes hasta exploradores, ¡hay tantos datos en el espacio! Descubre cómo diferentes gráficos pueden ayudarte a comprender mejor los viajes espaciales.</t>
  </si>
  <si>
    <t>What is a chart? A chart is a visual representation of data from a worksheet that can help you understand more about the data than just using the numbers. To find a chart in Excel, use the Ctrl key plus the F6 key (in Excel for the web) and the Ctrl key plus Alt key plus 5 (in Excel for Windows).</t>
  </si>
  <si>
    <t>¿Qué es un gráfico? Un gráfico es una representación visual de los datos de una hoja de trabajo, que puede ayudarte a comprender más sobre los datos que solo usar los números. Para buscar un gráfico en Excel, usa la tecla Ctrl más la tecla F6 (en Excel para la web) y la tecla Ctrl más la tecla Alt más 5 (en Excel para Windows).</t>
  </si>
  <si>
    <t>Column charts: Data that is arranged in columns or rows on a worksheet can be organized in a column chart. These charts are helpful when comparing categories (typically text names) by their value. The vertical axis shows the value of the data through size. The horizontal axis separates the values by their category.</t>
  </si>
  <si>
    <t>Gráficos de columnas: los datos que se organizan en columnas o filas en una hoja de trabajo se pueden organizar en un gráfico de columnas. Estos gráficos son útiles al comparar categorías (normalmente nombres de texto) por su valor. El eje vertical muestra el valor de los datos a través del tamaño. El eje horizontal separa los valores por su categoría.</t>
  </si>
  <si>
    <t>100% stacked column charts: A 100% stacked column chart shows values in columns that are stacked on top of each other to represent 100%. Use this chart when you want to compare the contributions to the whole, such as sections of a rocket! The vertical axis shows the proportion with different color segments. The horizontal axis separates the values by their category.</t>
  </si>
  <si>
    <t>Gráficos de columnas 100% apiladas: un gráfico de columnas 100% amontonadas muestra valores en columnas que se amontonan una encima de la otra, para representar el 100%. Utiliza este cuadro cuando desees comparar las contribuciones al conjunto, como las secciones de un cohete. El eje vertical muestra la proporción con diferentes segmentos de color. El eje horizontal separa los valores por su categoría.</t>
  </si>
  <si>
    <t>Scatter charts: A scatter chart is handy when you have two sets of value data, and you are curious what trends there are between them. Those patterns help you predict where other data might land as well! The vertical axis shows the position of the values on the y axis. The horizontal axis shows the position of the values on the x axis.</t>
  </si>
  <si>
    <t>Gráficos de dispersión: un gráfico de dispersión es útil cuando tiene dos conjuntos de datos de valor y tiene curiosidad por saber qué tendencias hay entre ellos. ¡Esos patrones lo ayudan a predecir dónde podrían aterrizar otros datos también! El eje vertical muestra la posición de los valores en el eje y. El eje horizontal muestra la posición de los valores en el eje x.</t>
  </si>
  <si>
    <t>Area charts: Stacked area charts show the trend of the contribution of each value over time (or other category), which helps you tell how the different categories change! The vertical axis shows the size of the values, with the categories separated by color. The horizontal axis shows the categories or the position of the time values.</t>
  </si>
  <si>
    <t>Gráficos de área: los gráficos de área amontonados muestran la tendencia de la contribución de cada valor, a lo largo del tiempo (u otra categoría), lo que le ayuda a saber cómo cambian las diferentes categorías. El eje vertical muestra el tamaño de los valores, con las categorías separadas por color. El eje horizontal muestra las categorías o la posición de los valores de tiempo.</t>
  </si>
  <si>
    <t>Discussion: Have you used charts before? What kinds of charts have you come across? Check your understanding: Answer the question in cell P21.</t>
  </si>
  <si>
    <t>Discusión: ¿Has usado gráficos antes? ¿Qué tipo de gráficos te has encontrado? Comprueba tu aprendizaje: responde la pregunta en la celda P21.</t>
  </si>
  <si>
    <t>From rockets to explorers, there is SO MUCH data around space! Learn about how different charts can help you gain insights into space travel!</t>
  </si>
  <si>
    <t>Desde cohetes hasta exploradores, ¡hay MUCHOS datos en el espacio! ¡Aprende cómo diferentes gráficos pueden ayudarte a obtener información sobre los viajes espaciales!</t>
  </si>
  <si>
    <t>Done with the lesson on this page? Answer these questions!</t>
  </si>
  <si>
    <t>¿Terminaste con la lección de esta página? ¡Responde estas preguntas!</t>
  </si>
  <si>
    <t>Discussion -</t>
  </si>
  <si>
    <t>Discusión</t>
  </si>
  <si>
    <t>Have you used charts before? What kinds of charts have you seen?</t>
  </si>
  <si>
    <t>¿Ha usado gráficos antes? ¿Qué tipo de gráficos has visto?</t>
  </si>
  <si>
    <t>Stacked column chart</t>
  </si>
  <si>
    <t>Gráfico de columnas amontonadas</t>
  </si>
  <si>
    <t>How much can rockets carry to space?</t>
  </si>
  <si>
    <t>¿Cuánto pueden transportar los cohetes al espacio?</t>
  </si>
  <si>
    <t>Learn how to use a column chart to organize and analyze rocket payload data.</t>
  </si>
  <si>
    <t>Aprende a utilizar un gráfico de columnas para organizar y analizar los datos de la carga útil del cohete.</t>
  </si>
  <si>
    <t>What is a column chart? A column chart is a way to visualize data that uses the size and height of vertical bars to quickly show a value. Sometimes it is easier to interpret differences in size faster than differences in numbers, which is when a column chart can be helpful.</t>
  </si>
  <si>
    <t>¿Qué es un gráfico de columnas? Un gráfico de columnas es una forma de visualizar datos que usa el tamaño y la altura de las barras verticales para mostrar rápidamente un valor. A veces es más fácil interpretar las diferencias de tamaño más rápido que las diferencias de números, que es cuando un gráfico de columnas puede ser útil.</t>
  </si>
  <si>
    <t>What is rocket payload? The crew and/or cargo that is carried into space by a rocket is called the payload. You can compare the differences in payload mass for different rockets using a column chart.</t>
  </si>
  <si>
    <t>¿Qué es la carga útil del cohete? La tripulación y / o la carga que se transporta al espacio mediante un cohete se denomina carga útil. Puedes comparar las diferencias en la masa de carga útil para diferentes cohetes utilizando un gráfico de columnas.</t>
  </si>
  <si>
    <t>Organizing your chart: Since your chart is tied to your table, you can organize your chart by sorting your table. On the table, use the filter button or alt key plus down arrow key to bring up the Sort meny. Try sorting launch year in ascending order (smallest to largest).</t>
  </si>
  <si>
    <t>Organización de tu gráfico: dado que tu gráfico está vinculado a tu tabla, puedes organizar tu gráfico clasificando su tabla. En la tabla, usa el botón de filtro o la tecla alt más la tecla de flecha hacia abajo para abrir el menú Ordenar. Intenta ordenar el año de lanzamiento en orden ascendente (de menor a mayor).</t>
  </si>
  <si>
    <t>Discussion: Why do you think rockets can carry different sizes of payloads? Check your knowledge: Use the table in cells F22 to H31 to answer the question in cell M21.</t>
  </si>
  <si>
    <t>Discusión: ¿Por qué crees que los cohetes pueden transportar cargas útiles de diferentes tamaños? Verifique sus conocimientos: use la tabla en las celdas F22 a H31 para responder la pregunta en la celda M21.</t>
  </si>
  <si>
    <t>First launch year</t>
  </si>
  <si>
    <t>Primer año de lanzamiento</t>
  </si>
  <si>
    <t>Payload mass (kg)</t>
  </si>
  <si>
    <t>Masa de carga útil (kg)</t>
  </si>
  <si>
    <t>Why do you think rockets can carry different sizes of payloads?</t>
  </si>
  <si>
    <t>¿Por qué crees que los cohetes pueden transportar cargas útiles de diferentes tamaños?</t>
  </si>
  <si>
    <t>Visualizing with color - stacked column charts</t>
  </si>
  <si>
    <t>Visualización con color: gráficos de columnas amontonadas.</t>
  </si>
  <si>
    <t>Now that you've learned about rocket payloads, research rocket mass proportions using a stacked column chart.</t>
  </si>
  <si>
    <t>Ahora que has aprendido sobre las cargas útiles de los cohetes, investiga las proporciones de masa de los cohetes utilizando un gráfico de columnas amontonadas.</t>
  </si>
  <si>
    <t>Stacked column chart: A stacked column chart allows proportional comparisons between items by adding color. Each colored section in a column represents a percentage of the total being measured.</t>
  </si>
  <si>
    <t>Gráfico de columnas amontonadas: un gráfico de columnas apiladas permite comparaciones proporcionales entre elementos añadiendo color. Cada sección coloreada de una columna representa un porcentaje del total que se mide.</t>
  </si>
  <si>
    <t>Rocket mass proportions: The total mass of a rocket can be divided into three categories - fuel, structure, and payload. The largest proportion of a rocket's mass is fuel, followed by its structure and then its payload.</t>
  </si>
  <si>
    <t>Proporciones de masa del cohete: la masa total de un cohete se puede dividir en tres categorías: combustible, estructura y carga útil. La mayor proporción de la masa de un cohete es el combustible, seguido de su estructura y luego su carga útil.</t>
  </si>
  <si>
    <t>Payload-structure comparison: When we remove fuel mass from the chart (the largest proportion), the proportion between the remaining two (rocket structure and payload mass) becomes easier to notice. Sort the launch year in ascending order (smallest to largest) in the table in cells E22 to I31. By calculating the proportion, we notice that the ratio of the payload mass to structure mass has been increasing over time.</t>
  </si>
  <si>
    <t>Comparación de la estructura de carga útil: cuando eliminamos la masa de combustible del gráfico (la proporción más grande), la proporción entre los dos restantes (estructura del cohete y masa de carga útil) se vuelve más fácil de notar. Ordena el año de lanzamiento en orden ascendente (de menor a mayor) en la tabla de las celdas E22 a I31. Al calcular la proporción, notamos que la relación entre la masa de la carga útil y la masa de la estructura ha ido aumentando con el tiempo.</t>
  </si>
  <si>
    <t>Discussion: Why is it important for engineers to pay attention to mass ratios when designing a rocket? Check your knowledge: Use the table in cells E22 to I31 to answer the question in cell M21.</t>
  </si>
  <si>
    <t>Discusión: ¿Por qué es importante que los ingenieros presten atención a las relaciones de masa al diseñar un cohete? Comprueba tus conocimientos: utiliza la tabla en las celdas E22 a I31 para responder la pregunta en la celda M21.</t>
  </si>
  <si>
    <t>Visualizing with COLOR -  stacked column charts</t>
  </si>
  <si>
    <t>Visualización con COLOR: gráficos de columnas amontonadas.</t>
  </si>
  <si>
    <t>Why is it important for engineers to pay attention to mass ratios when designing a rocket?</t>
  </si>
  <si>
    <t>¿Por qué es importante que los ingenieros presten atención a las relaciones de masa al diseñar un cohete?</t>
  </si>
  <si>
    <t>Launch Year</t>
  </si>
  <si>
    <t>Año de lanzamiento</t>
  </si>
  <si>
    <t>Structure mass (kg)</t>
  </si>
  <si>
    <t>Masa de estructura (kg)</t>
  </si>
  <si>
    <t>Fuel mass (kg)</t>
  </si>
  <si>
    <t>Masa de combustible (kg)</t>
  </si>
  <si>
    <t>Visualizing with position - scatter plot</t>
  </si>
  <si>
    <t>Visualización con posición - diagrama de dispersión</t>
  </si>
  <si>
    <t>Now that we have studied proportions with mass, investigate using position based charts to forecast the future!</t>
  </si>
  <si>
    <t>Ahora que hemos estudiado proporciones con masa, ¡investiga usando gráficos basados ​​en posiciones para pronosticar el futuro!</t>
  </si>
  <si>
    <t>Scatter plot charts: Scatter plot charts allow for patterns in the data to be visualized. With each dot representing the position of each data point, trends can be found and used to predict future outcomes!</t>
  </si>
  <si>
    <t>Gráficos de gráficos de dispersión, permiten visualizar patrones en los datos. ¡Con cada punto que representa la posición, de cada punto de datos, las tendencias se pueden encontrar y usar para predecir datos futuros.</t>
  </si>
  <si>
    <t>Using trendlines: A key method to find patterns in a scatter plot is to use a trendline. A trendline is a line that "best fits" between all of the points on the chart. For example, in our graph comparing rocket efficiency, a linear best fit trendline shows us that the cost per kilogram is decreasing over time.</t>
  </si>
  <si>
    <t>Uso de líneas de tendencia: un método clave para encontrar patrones en un diagrama de dispersión es usar una línea de tendencia. Una línea de tendencia es una línea que "encaja mejor" entre todos los puntos del gráfico. Por ejemplo, en nuestro gráfico que compara la eficiencia del cohete, una línea de tendencia lineal de mejor ajuste nos muestra que el costo por kilogramo está disminuyendo con el tiempo.</t>
  </si>
  <si>
    <t>Forecasting: Once your chart has a trendline, you can use it to "forecast" (or predict) that pattern into the future. Forecasting can also help to notice if the pattern makes sense going forward.</t>
  </si>
  <si>
    <t>Pronóstico: una vez que su gráfico tiene una línea de tendencia, puede usarlo para "pronosticar" (o predecir) ese patrón en el futuro. La previsión también puede ayudar a notar si el patrón tiene sentido en el futuro.</t>
  </si>
  <si>
    <t>Discussion: What are two other data sets from the table in cells E22 to I31 that would be a good fit for scatter plot charts? Check your knowledge: Use the table in cells E22 to I31 to answer the question in cell M21.</t>
  </si>
  <si>
    <t>Discusión: ¿Cuáles son los otros dos conjuntos de datos de la tabla en las celdas E22 a I31 que serían un buen ajuste para los gráficos de gráficos de dispersión? Compruebe sus conocimientos: utilice la tabla en las celdas E22 a I31 para responder la pregunta en la celda M21.</t>
  </si>
  <si>
    <t>Visualizing with POSITION - scatter charts</t>
  </si>
  <si>
    <t>Visualización con POSICIÓN - gráficos de dispersión</t>
  </si>
  <si>
    <t>Comparing rocket efficiency</t>
  </si>
  <si>
    <t>Comparando la eficiencia del cohete</t>
  </si>
  <si>
    <t>What are two other data sets from the table that would be a good fit for scatter plot charts?</t>
  </si>
  <si>
    <t>¿Cuáles son otros dos conjuntos de datos de la tabla que serían adecuados para gráficos de diagrama de dispersión?</t>
  </si>
  <si>
    <t>Visualizing complex data - area charts</t>
  </si>
  <si>
    <t>Visualización de datos complejos: gráficos de áreas</t>
  </si>
  <si>
    <t>Complex questions can require more complex visualizations. Incorporate size, color, and position with stacked area charts to interpret trends in crewed spaceflight over the last 60 years!</t>
  </si>
  <si>
    <t>Las preguntas complejas pueden requerir visualizaciones más complejas. ¡Incorpore tamaño, color y posición con gráficos de áreas amontonadas para interpretar las tendencias en los vuelos espaciales tripulados durante los últimos 60 años!</t>
  </si>
  <si>
    <t>What is an area chart? The goal of an area chart is to show the change over time of a set of data. It taskes visualization features found in both column and scatter charts to illustrate data in a new manner.</t>
  </si>
  <si>
    <t>¿Qué es un gráfico de áreas? El objetivo de un gráfico de áreas es mostrar el cambio en el tiempo de un conjunto de datos. Asigna funciones de visualización que se encuentran en gráficos de dispersión y de columnas para ilustrar los datos de una manera nueva.</t>
  </si>
  <si>
    <t>Visualizing with area: While column charts primarily showed the data through size, and scatter charts through differences in position, an area chart combines the two to show how the size of the shaded areas change between different points.</t>
  </si>
  <si>
    <t>Visualización con área: mientras que los gráficos de columnas mostraron principalmente los datos a través del tamaño y los gráficos de dispersión a través de las diferencias de posición, un gráfico de áreas combina los dos,para mostrar cómo cambia el tamaño de las áreas sombreadas entre diferentes puntos.</t>
  </si>
  <si>
    <t>Crewed missions: In this lesson, we notice how often we have launched a "crewed mission" for each of the last six decades. A crewed mission is any mission to space that carries people.</t>
  </si>
  <si>
    <t>Misiones con tripulación: En esta lección, notamos la frecuencia con la que hemos lanzado una "misión con tripulación" durante cada una de las últimas seis décadas. Una misión tripulada, es cualquier misión al espacio que transporta personas.</t>
  </si>
  <si>
    <t>Stacking with color: Introducing color into an area chart allows the visual to split into smaller components, like pieces of a puzzle. An area chart with one color could show the number of crewed missions over time. An area chart with multiple colors (multiple puzzle pieces) brings a greater focus on where the crewed missions go.</t>
  </si>
  <si>
    <t>Amonotamiento de color: la introducción de color en un gráfico de áreas, permite que lo visual se divida en componentes más pequeños, como piezas de un rompecabezas. Un gráfico de área con un color podría mostrar el número de misiones tripuladas a lo largo del tiempo. Un gráfico de área con varios colores (varias piezas de un rompecabezas) brinda un mayor enfoque sobre el destino de las misiones tripuladas.</t>
  </si>
  <si>
    <t>Where have we gone? Splitting destinations into these five categories - earth orbit, lunar mission, Mir Space Station, International Space Station, and other space station - shows both our history of lunar travel and extended space travel. Space stations are habitats in space where crews can live for long periods of time. The Interational Space Station has now had a person in space constantly for the last 20 years!</t>
  </si>
  <si>
    <t>¿A dónde hemos ido? Dividir los destinos en estas cinco categorías (órbita terrestre, misión lunar, Estación Espacial Mir, Estación Espacial Internacional y otras estaciones espaciales) muestra tanto nuestra historia de viajes lunares como los viajes espaciales extendidos. Las estaciones espaciales son hábitats en el espacio donde las tripulaciones pueden vivir durante largos períodos de tiempo. ¡La Estación Espacial Interacional ha tenido una persona en el espacio constantemente durante los últimos 20 años!</t>
  </si>
  <si>
    <t>People sent to space: While the earliest spacecraft flew with just a single crewmember inside, most missions now include 2-4 people. The current record is 8 people carried to space on the same spacecraft!</t>
  </si>
  <si>
    <t>Personas enviadas al espacio: Si bien la primera nave espacial voló con un solo miembro de la tripulación adentro, la mayoría de las misiones ahora incluyen de 2 a 4 personas. ¡El récord actual es de 8 personas llevadas al espacio en la misma nave espacial!</t>
  </si>
  <si>
    <t xml:space="preserve">Check your knowledge: Use the table in cells E22 to I31 to answer the two questions in cells M17 and M21. </t>
  </si>
  <si>
    <t>Comprueba tus conocimientos: utiliza la tabla de las celdas E22 a I31 para responder las dos preguntas de las celdas M17 y M21.</t>
  </si>
  <si>
    <t>Total</t>
  </si>
  <si>
    <t>Done with the lesson on this page? Select the correct chart to answer these questions!</t>
  </si>
  <si>
    <t>¿Terminaste con la lección de esta página? Selecciona la tabla correcta para responder estas preguntas.</t>
  </si>
  <si>
    <t>Images</t>
  </si>
  <si>
    <t>Imágenes</t>
  </si>
  <si>
    <t>Numbers</t>
  </si>
  <si>
    <t>Números</t>
  </si>
  <si>
    <t>Data</t>
  </si>
  <si>
    <t>Dato</t>
  </si>
  <si>
    <t>Sort ↓</t>
  </si>
  <si>
    <t>Clasificar ↓</t>
  </si>
  <si>
    <t>Certificate of Completion</t>
  </si>
  <si>
    <t>Certificado de finalización</t>
  </si>
  <si>
    <t>Introduction to Data</t>
  </si>
  <si>
    <t>Introducción a los datos</t>
  </si>
  <si>
    <t>Congratulations for earning your Space Data Badge!</t>
  </si>
  <si>
    <t>¡Felicitaciones por ganar su insignia de datos espaciales!</t>
  </si>
  <si>
    <t xml:space="preserve">This certificate celebrates </t>
  </si>
  <si>
    <t>Este certificado celebra</t>
  </si>
  <si>
    <t xml:space="preserve">for the successful completion of the Introduction to Data experience! </t>
  </si>
  <si>
    <t>para completar con éxito la experiencia de Introducción a los datos!</t>
  </si>
  <si>
    <t>type your name here</t>
  </si>
  <si>
    <t>Escriba su nombre aquí</t>
  </si>
  <si>
    <t>Exploring charts</t>
  </si>
  <si>
    <t>Explore los gráficos</t>
  </si>
  <si>
    <t>Plot area</t>
  </si>
  <si>
    <t>Área de parcela</t>
  </si>
  <si>
    <t>Chart title</t>
  </si>
  <si>
    <t>Título de gráfico</t>
  </si>
  <si>
    <t>Axis title</t>
  </si>
  <si>
    <t>Títulos de los ejes</t>
  </si>
  <si>
    <t>Sorting a chart</t>
  </si>
  <si>
    <t>Clasifica los datos</t>
  </si>
  <si>
    <t>INTRODUCTION</t>
  </si>
  <si>
    <t>INTRODUCCIÓN</t>
  </si>
  <si>
    <t xml:space="preserve"> of 12 questions answered</t>
  </si>
  <si>
    <t xml:space="preserve"> de 12 preguntas</t>
  </si>
  <si>
    <t>Height (m) by Rocket</t>
  </si>
  <si>
    <t>Altura (m) por cohete</t>
  </si>
  <si>
    <t>Q</t>
  </si>
  <si>
    <t>P</t>
  </si>
  <si>
    <t>Payload (kg) by Rocket</t>
  </si>
  <si>
    <t>Carga útil (kg) por cohete</t>
  </si>
  <si>
    <t>Introduction to Data Visualization</t>
  </si>
  <si>
    <t>Introducción a la visualización de datos</t>
  </si>
  <si>
    <t xml:space="preserve">for the successful completion of the Introduction to Data Visualization experience! </t>
  </si>
  <si>
    <t>para completar con éxito la experiencia de Introducción a la Visualización de Datos!</t>
  </si>
  <si>
    <t>Cost per kg ($/kg)</t>
  </si>
  <si>
    <t>Costo de kg ($/kg)</t>
  </si>
  <si>
    <t>Img</t>
  </si>
  <si>
    <t>Green</t>
  </si>
  <si>
    <t>Red</t>
  </si>
  <si>
    <t xml:space="preserve"> </t>
  </si>
  <si>
    <t>$/kg2</t>
  </si>
  <si>
    <t>Payload-dry mass (%)</t>
  </si>
  <si>
    <t>Column1</t>
  </si>
  <si>
    <t>New Glenn</t>
  </si>
  <si>
    <t>D</t>
  </si>
  <si>
    <t>Value1</t>
  </si>
  <si>
    <t>Value2</t>
  </si>
  <si>
    <t>Value3</t>
  </si>
  <si>
    <t>Value4</t>
  </si>
  <si>
    <t>A</t>
  </si>
  <si>
    <t>B</t>
  </si>
  <si>
    <t>C</t>
  </si>
  <si>
    <t>E</t>
  </si>
  <si>
    <t>R1</t>
  </si>
  <si>
    <t>1960-69</t>
  </si>
  <si>
    <t>R2</t>
  </si>
  <si>
    <t>1970-79</t>
  </si>
  <si>
    <t>R3</t>
  </si>
  <si>
    <t>1980-89</t>
  </si>
  <si>
    <t>R4</t>
  </si>
  <si>
    <t>1990-99</t>
  </si>
  <si>
    <t>R5</t>
  </si>
  <si>
    <t>2000-09</t>
  </si>
  <si>
    <t>R6</t>
  </si>
  <si>
    <t>2010-19</t>
  </si>
  <si>
    <t>R7</t>
  </si>
  <si>
    <t>R8</t>
  </si>
  <si>
    <t>R9</t>
  </si>
  <si>
    <t>R10</t>
  </si>
  <si>
    <t>Launch cost ($)</t>
  </si>
  <si>
    <t>Where have space explorers come from?</t>
  </si>
  <si>
    <t>There are a wide variety of charts that can be used to visualize different sets of data. Learn about space explorers' nationalities with a SUNBURST chart!</t>
  </si>
  <si>
    <t>Time in space</t>
  </si>
  <si>
    <t>Continent</t>
  </si>
  <si>
    <t>Mission Time (days)</t>
  </si>
  <si>
    <t>Asia</t>
  </si>
  <si>
    <t>China</t>
  </si>
  <si>
    <t>Japan</t>
  </si>
  <si>
    <t>Europe</t>
  </si>
  <si>
    <t>France</t>
  </si>
  <si>
    <t>Germany</t>
  </si>
  <si>
    <t>Russia</t>
  </si>
  <si>
    <t>North America</t>
  </si>
  <si>
    <t>Canada</t>
  </si>
  <si>
    <t>United States</t>
  </si>
  <si>
    <t>Other</t>
  </si>
  <si>
    <t xml:space="preserve">All other countries  </t>
  </si>
  <si>
    <t>Discuss this!</t>
  </si>
  <si>
    <t>What trends in spaceflight do you notice from these charts?</t>
  </si>
  <si>
    <t>Next &gt;</t>
  </si>
  <si>
    <t>Explorers</t>
  </si>
  <si>
    <t>Missions</t>
  </si>
  <si>
    <t>Mission Time</t>
  </si>
  <si>
    <t>First Explorer Date</t>
  </si>
  <si>
    <t>Country2</t>
  </si>
  <si>
    <t>First time</t>
  </si>
  <si>
    <t>First explorer</t>
  </si>
  <si>
    <t>Chart Title</t>
  </si>
  <si>
    <t>Yuri Gagarin</t>
  </si>
  <si>
    <t>What is a sunburst chart?</t>
  </si>
  <si>
    <t>A sunburst chart excels at visualizing data that can be grouped at multiple levels. The inner layer is the most broad category, becoming more specific with outer layers.</t>
  </si>
  <si>
    <t>Explorers by Country</t>
  </si>
  <si>
    <t>Alan Shepard</t>
  </si>
  <si>
    <t>People sent to space</t>
  </si>
  <si>
    <t>This chart visualizes where space explorers more frequently have originated. Note that in fact, people from every continent have gone to space, from 42 different countries!</t>
  </si>
  <si>
    <t>Czech Republic</t>
  </si>
  <si>
    <t>Vladimír Remek</t>
  </si>
  <si>
    <t>Missions to space</t>
  </si>
  <si>
    <t>More than half of space explorers have gone back to space at least once! This shows how many missions these countries' space explorers have left on.</t>
  </si>
  <si>
    <t>Missions by Country</t>
  </si>
  <si>
    <t>Poland</t>
  </si>
  <si>
    <t>Mirosław Hermaszewski</t>
  </si>
  <si>
    <t>Durations of trips to space can vary from a few days, to more than a year!</t>
  </si>
  <si>
    <t>Time in space by Country</t>
  </si>
  <si>
    <t>Sigmund Jähn</t>
  </si>
  <si>
    <t>Bulgaria</t>
  </si>
  <si>
    <t>Georgi Ivanov</t>
  </si>
  <si>
    <t>Hungary</t>
  </si>
  <si>
    <t>Bertalan Farkas</t>
  </si>
  <si>
    <t>All other countries</t>
  </si>
  <si>
    <t>Vietnam</t>
  </si>
  <si>
    <t>Pham Tuân</t>
  </si>
  <si>
    <t>Cuba</t>
  </si>
  <si>
    <t>Arnaldo Tamayo Méndez</t>
  </si>
  <si>
    <t>Mongolia</t>
  </si>
  <si>
    <t>Jügderdemidiin Gürragchaa</t>
  </si>
  <si>
    <t>Romania</t>
  </si>
  <si>
    <t>Dumitru Prunariu</t>
  </si>
  <si>
    <t>Jean-Loup Chrétien</t>
  </si>
  <si>
    <t>India</t>
  </si>
  <si>
    <t>Rakesh Sharma</t>
  </si>
  <si>
    <t>Marc Garneau</t>
  </si>
  <si>
    <t>Oceania</t>
  </si>
  <si>
    <t>Australia</t>
  </si>
  <si>
    <t>Paul Scully-Power</t>
  </si>
  <si>
    <t>Netherlands</t>
  </si>
  <si>
    <t>Lodewijk van den Berg</t>
  </si>
  <si>
    <t>Saudi Arabia</t>
  </si>
  <si>
    <t>Sultan Salman Al Saud</t>
  </si>
  <si>
    <t>Mexico</t>
  </si>
  <si>
    <t>Rodolfo Neri Vela</t>
  </si>
  <si>
    <t>Costa Rica</t>
  </si>
  <si>
    <t>Franklin Chang-Diaz</t>
  </si>
  <si>
    <t>Syria</t>
  </si>
  <si>
    <t>Muhammed Faris</t>
  </si>
  <si>
    <t>Afghanistan</t>
  </si>
  <si>
    <t>Abdul Ahad Mohmand</t>
  </si>
  <si>
    <t>Armenia</t>
  </si>
  <si>
    <t>James Bagian</t>
  </si>
  <si>
    <t>Toyohiro Akiyama</t>
  </si>
  <si>
    <t>United Kingdom</t>
  </si>
  <si>
    <t>Helen Sharman</t>
  </si>
  <si>
    <t>Austria</t>
  </si>
  <si>
    <t>Franz Viehböck</t>
  </si>
  <si>
    <t>Belgium</t>
  </si>
  <si>
    <t>Dirk Frimout</t>
  </si>
  <si>
    <t>Italy</t>
  </si>
  <si>
    <t>Franco Malerba</t>
  </si>
  <si>
    <t>Switzerland</t>
  </si>
  <si>
    <t>Claude Nicollier</t>
  </si>
  <si>
    <t>Kazakhstan</t>
  </si>
  <si>
    <t>Talgat Musabayev</t>
  </si>
  <si>
    <t>Spain</t>
  </si>
  <si>
    <t>Michael Lopez-Alegria</t>
  </si>
  <si>
    <t>Iceland</t>
  </si>
  <si>
    <t>Bjarni Tryggvason</t>
  </si>
  <si>
    <t>Ukraine</t>
  </si>
  <si>
    <t>Leonid Kadenyuk</t>
  </si>
  <si>
    <t>Slovakia</t>
  </si>
  <si>
    <t>Ivan Bella</t>
  </si>
  <si>
    <t>Africa</t>
  </si>
  <si>
    <t>South Africa</t>
  </si>
  <si>
    <t>Mark Shuttleworth</t>
  </si>
  <si>
    <t>Israel</t>
  </si>
  <si>
    <t>Ilan Ramon</t>
  </si>
  <si>
    <t>Yang Liwei</t>
  </si>
  <si>
    <t>South America</t>
  </si>
  <si>
    <t>Brazil</t>
  </si>
  <si>
    <t>Marcos Pontes</t>
  </si>
  <si>
    <t>Iran</t>
  </si>
  <si>
    <t>Anousheh Ansari</t>
  </si>
  <si>
    <t>Sweden</t>
  </si>
  <si>
    <t>Christer Fuglesang</t>
  </si>
  <si>
    <t>Malaysia</t>
  </si>
  <si>
    <t>Sheikh Muszaphar Shukor</t>
  </si>
  <si>
    <t>South Korea</t>
  </si>
  <si>
    <t>Yi So-yeon</t>
  </si>
  <si>
    <t>Denmark</t>
  </si>
  <si>
    <t>Andreas Mogensen</t>
  </si>
  <si>
    <t>UAE</t>
  </si>
  <si>
    <t>Hazza Al Mansouri</t>
  </si>
  <si>
    <t>Incorrect text</t>
  </si>
  <si>
    <t>Correct2</t>
  </si>
  <si>
    <t>1990s</t>
  </si>
  <si>
    <t>2010s</t>
  </si>
  <si>
    <t>d</t>
  </si>
  <si>
    <t>Line chart</t>
  </si>
  <si>
    <t>1960s</t>
  </si>
  <si>
    <t>1970s</t>
  </si>
  <si>
    <t>1980s</t>
  </si>
  <si>
    <t>2000s</t>
  </si>
  <si>
    <t>Axis Title</t>
  </si>
  <si>
    <t>Table desc</t>
  </si>
  <si>
    <t>ImgSel</t>
  </si>
  <si>
    <t>Column</t>
  </si>
  <si>
    <t>Visible</t>
  </si>
  <si>
    <t xml:space="preserve">Dropdownlist </t>
  </si>
  <si>
    <t>name</t>
  </si>
  <si>
    <t>Visual</t>
  </si>
  <si>
    <t>Complex charts</t>
  </si>
  <si>
    <t>Step1</t>
  </si>
  <si>
    <t>Stacked Area</t>
  </si>
  <si>
    <t>complex charts can answer complex questions</t>
  </si>
  <si>
    <t>Area size</t>
  </si>
  <si>
    <t>Step2</t>
  </si>
  <si>
    <t>Area</t>
  </si>
  <si>
    <t>Size (magnitude) Change (position)</t>
  </si>
  <si>
    <t>area position</t>
  </si>
  <si>
    <t>Step3</t>
  </si>
  <si>
    <t>adding color split</t>
  </si>
  <si>
    <t>Step4</t>
  </si>
  <si>
    <t>add Proportion (color)</t>
  </si>
  <si>
    <t>mission</t>
  </si>
  <si>
    <t>Step5</t>
  </si>
  <si>
    <t>discuss crewed missions</t>
  </si>
  <si>
    <t>people</t>
  </si>
  <si>
    <t>Step6</t>
  </si>
  <si>
    <t>discuss people</t>
  </si>
  <si>
    <t>time</t>
  </si>
  <si>
    <t>Step7</t>
  </si>
  <si>
    <t>discuss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</si>
</sst>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164" formatCode="#,##0.0"/>
    <numFmt numFmtId="165" formatCode="yyyy"/>
    <numFmt numFmtId="166" formatCode="dd\ mmm\ yyyy"/>
    <numFmt numFmtId="167" formatCode="0.0%"/>
    <numFmt numFmtId="168" formatCode="&quot;$&quot;#,##0"/>
  </numFmts>
  <fonts count="55">
    <font>
      <sz val="11"/>
      <color theme="1"/>
      <name val="Segoe UI"/>
      <family val="2"/>
      <scheme val="minor"/>
    </font>
    <font>
      <sz val="11"/>
      <color theme="1"/>
      <name val="Segoe UI"/>
      <family val="2"/>
      <scheme val="minor"/>
    </font>
    <font>
      <b/>
      <sz val="18"/>
      <color theme="1"/>
      <name val="Segoe UI"/>
      <family val="2"/>
      <scheme val="minor"/>
    </font>
    <font>
      <sz val="13"/>
      <color theme="1"/>
      <name val="Segoe UI"/>
      <family val="2"/>
      <scheme val="minor"/>
    </font>
    <font>
      <sz val="13"/>
      <color theme="0"/>
      <name val="Segoe UI Symbol"/>
      <family val="2"/>
    </font>
    <font>
      <sz val="16"/>
      <color theme="1"/>
      <name val="Segoe UI Semibold"/>
      <family val="2"/>
      <scheme val="major"/>
    </font>
    <font>
      <sz val="12"/>
      <color theme="1"/>
      <name val="Segoe UI"/>
      <family val="2"/>
      <scheme val="minor"/>
    </font>
    <font>
      <sz val="13"/>
      <color theme="7"/>
      <name val="Segoe UI Semibold"/>
      <family val="2"/>
      <scheme val="major"/>
    </font>
    <font>
      <sz val="14"/>
      <color theme="1"/>
      <name val="Segoe UI"/>
      <family val="2"/>
      <scheme val="minor"/>
    </font>
    <font>
      <sz val="14"/>
      <color theme="1"/>
      <name val="Segoe UI Semibold"/>
      <family val="2"/>
      <scheme val="major"/>
    </font>
    <font>
      <sz val="8"/>
      <name val="Segoe UI"/>
      <family val="2"/>
      <scheme val="minor"/>
    </font>
    <font>
      <b/>
      <sz val="16"/>
      <color theme="1"/>
      <name val="Segoe UI"/>
      <family val="2"/>
      <scheme val="minor"/>
    </font>
    <font>
      <sz val="10"/>
      <color theme="1"/>
      <name val="Segoe UI"/>
      <family val="2"/>
      <scheme val="minor"/>
    </font>
    <font>
      <sz val="11"/>
      <color theme="2"/>
      <name val="Segoe UI"/>
      <family val="2"/>
      <scheme val="minor"/>
    </font>
    <font>
      <sz val="11"/>
      <color theme="0"/>
      <name val="Segoe UI"/>
      <family val="2"/>
      <scheme val="minor"/>
    </font>
    <font>
      <i/>
      <sz val="16"/>
      <color theme="0"/>
      <name val="Segoe UI"/>
      <family val="2"/>
      <scheme val="minor"/>
    </font>
    <font>
      <sz val="18"/>
      <color theme="0"/>
      <name val="Segoe UI Semibold"/>
      <family val="2"/>
      <scheme val="major"/>
    </font>
    <font>
      <sz val="18"/>
      <color theme="0"/>
      <name val="Segoe UI Bold"/>
    </font>
    <font>
      <sz val="16"/>
      <color theme="1"/>
      <name val="Segoe UI"/>
      <family val="2"/>
      <scheme val="minor"/>
    </font>
    <font>
      <u/>
      <sz val="11"/>
      <color theme="10"/>
      <name val="Segoe UI"/>
      <family val="2"/>
      <scheme val="minor"/>
    </font>
    <font>
      <sz val="16"/>
      <color theme="0"/>
      <name val="Segoe UI"/>
      <family val="2"/>
      <scheme val="minor"/>
    </font>
    <font>
      <b/>
      <sz val="13"/>
      <color theme="7" tint="-0.499984740745262"/>
      <name val="Segoe UI"/>
      <family val="2"/>
      <scheme val="minor"/>
    </font>
    <font>
      <sz val="11"/>
      <color theme="1"/>
      <name val="Segoe UI Symbol"/>
      <family val="2"/>
    </font>
    <font>
      <b/>
      <sz val="16"/>
      <color theme="7" tint="-0.499984740745262"/>
      <name val="Segoe UI "/>
    </font>
    <font>
      <sz val="8"/>
      <color theme="1"/>
      <name val="Segoe UI"/>
      <family val="2"/>
      <scheme val="minor"/>
    </font>
    <font>
      <sz val="10"/>
      <color theme="1"/>
      <name val="Segoe UI Semibold"/>
      <family val="2"/>
      <scheme val="major"/>
    </font>
    <font>
      <sz val="10"/>
      <color theme="0"/>
      <name val="Segoe UI Symbol"/>
      <family val="2"/>
    </font>
    <font>
      <sz val="11.5"/>
      <color theme="1"/>
      <name val="Segoe UI"/>
      <family val="2"/>
      <scheme val="minor"/>
    </font>
    <font>
      <sz val="11.5"/>
      <color theme="1"/>
      <name val="Segoe UI Semibold"/>
      <family val="2"/>
      <scheme val="major"/>
    </font>
    <font>
      <sz val="11"/>
      <color theme="1"/>
      <name val="Segoe UI Semibold"/>
      <family val="2"/>
      <scheme val="major"/>
    </font>
    <font>
      <sz val="12"/>
      <color theme="1"/>
      <name val="Segoe UI Semibold"/>
      <family val="2"/>
      <scheme val="major"/>
    </font>
    <font>
      <sz val="12"/>
      <color theme="1"/>
      <name val="Segoe UI Symbol"/>
      <family val="2"/>
    </font>
    <font>
      <sz val="10"/>
      <color theme="0"/>
      <name val="Segoe UI Semibold"/>
      <family val="2"/>
      <scheme val="major"/>
    </font>
    <font>
      <b/>
      <sz val="11"/>
      <color theme="1"/>
      <name val="Segoe UI"/>
      <family val="2"/>
      <scheme val="minor"/>
    </font>
    <font>
      <sz val="14"/>
      <color theme="0"/>
      <name val="Segoe UI Symbol"/>
      <family val="2"/>
    </font>
    <font>
      <i/>
      <sz val="11.5"/>
      <color theme="1"/>
      <name val="Segoe UI"/>
      <family val="2"/>
      <scheme val="minor"/>
    </font>
    <font>
      <sz val="10"/>
      <name val="Segoe UI"/>
      <family val="2"/>
      <scheme val="minor"/>
    </font>
    <font>
      <b/>
      <i/>
      <sz val="10"/>
      <color rgb="FFC00000"/>
      <name val="Segoe UI"/>
      <family val="2"/>
      <scheme val="minor"/>
    </font>
    <font>
      <sz val="10"/>
      <color theme="1"/>
      <name val="Segoe UI Symbol"/>
      <family val="2"/>
    </font>
    <font>
      <sz val="11"/>
      <color rgb="FF444444"/>
      <name val="Calibri"/>
      <family val="2"/>
      <charset val="1"/>
    </font>
    <font>
      <i/>
      <sz val="12"/>
      <color rgb="FF2F2F2F"/>
      <name val="Segoe UI Semibold"/>
      <family val="2"/>
      <scheme val="major"/>
    </font>
    <font>
      <b/>
      <sz val="16"/>
      <color rgb="FF2F2F2F"/>
      <name val="Segoe UI"/>
      <family val="2"/>
      <scheme val="minor"/>
    </font>
    <font>
      <i/>
      <sz val="13"/>
      <color theme="1"/>
      <name val="Segoe UI Semibold"/>
      <family val="2"/>
      <scheme val="major"/>
    </font>
    <font>
      <sz val="7"/>
      <color rgb="FF444444"/>
      <name val="Calibri"/>
      <family val="2"/>
    </font>
    <font>
      <b/>
      <sz val="14"/>
      <color theme="1"/>
      <name val="Segoe UI"/>
      <family val="2"/>
      <scheme val="minor"/>
    </font>
    <font>
      <sz val="14"/>
      <color theme="0"/>
      <name val="Segoe UI"/>
      <family val="2"/>
      <scheme val="minor"/>
    </font>
    <font>
      <b/>
      <sz val="11"/>
      <name val="Segoe UI"/>
      <family val="2"/>
      <scheme val="minor"/>
    </font>
    <font>
      <sz val="11.5"/>
      <color rgb="FF2F2F2F"/>
      <name val="Segoe UI"/>
      <family val="2"/>
      <scheme val="minor"/>
    </font>
    <font>
      <i/>
      <sz val="9"/>
      <color theme="1"/>
      <name val="Segoe UI Semibold"/>
      <family val="2"/>
      <scheme val="major"/>
    </font>
    <font>
      <sz val="20"/>
      <color theme="3" tint="-0.249977111117893"/>
      <name val="Segoe UI Semibold"/>
      <family val="2"/>
      <scheme val="major"/>
    </font>
    <font>
      <sz val="18"/>
      <color theme="3" tint="-0.249977111117893"/>
      <name val="Segoe UI"/>
      <family val="2"/>
      <scheme val="minor"/>
    </font>
    <font>
      <b/>
      <sz val="36"/>
      <color theme="5" tint="0.59999389629810485"/>
      <name val="Segoe UI"/>
      <family val="2"/>
      <scheme val="minor"/>
    </font>
    <font>
      <sz val="22"/>
      <name val="Segoe UI Semibold"/>
      <family val="2"/>
      <scheme val="major"/>
    </font>
    <font>
      <sz val="26"/>
      <color theme="5" tint="0.59999389629810485"/>
      <name val="Segoe UI Semibold"/>
      <family val="2"/>
      <scheme val="major"/>
    </font>
    <font>
      <i/>
      <sz val="18"/>
      <color theme="7"/>
      <name val="Segoe UI"/>
      <family val="2"/>
      <scheme val="minor"/>
    </font>
  </fonts>
  <fills count="15">
    <fill>
      <patternFill patternType="none"/>
    </fill>
    <fill>
      <patternFill patternType="gray125"/>
    </fill>
    <fill>
      <patternFill patternType="solid">
        <fgColor theme="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bgColor indexed="64"/>
      </patternFill>
    </fill>
    <fill>
      <patternFill patternType="solid">
        <fgColor rgb="FF000000"/>
        <bgColor indexed="64"/>
      </patternFill>
    </fill>
    <fill>
      <patternFill patternType="solid">
        <fgColor theme="7" tint="-0.499984740745262"/>
        <bgColor indexed="64"/>
      </patternFill>
    </fill>
    <fill>
      <patternFill patternType="solid">
        <fgColor rgb="FFFFFFFF"/>
        <bgColor rgb="FF000000"/>
      </patternFill>
    </fill>
    <fill>
      <patternFill patternType="solid">
        <fgColor theme="7" tint="-0.249977111117893"/>
        <bgColor indexed="64"/>
      </patternFill>
    </fill>
    <fill>
      <patternFill patternType="solid">
        <fgColor theme="7" tint="0.79998168889431442"/>
        <bgColor rgb="FF000000"/>
      </patternFill>
    </fill>
    <fill>
      <patternFill patternType="solid">
        <fgColor theme="2"/>
        <bgColor rgb="FF000000"/>
      </patternFill>
    </fill>
    <fill>
      <patternFill patternType="solid">
        <fgColor theme="9" tint="0.79998168889431442"/>
        <bgColor indexed="64"/>
      </patternFill>
    </fill>
    <fill>
      <patternFill patternType="solid">
        <fgColor theme="5" tint="-0.249977111117893"/>
        <bgColor indexed="64"/>
      </patternFill>
    </fill>
  </fills>
  <borders count="68">
    <border>
      <left/>
      <right/>
      <top/>
      <bottom/>
      <diagonal/>
    </border>
    <border>
      <left style="thin">
        <color theme="7" tint="-0.499984740745262"/>
      </left>
      <right style="thin">
        <color theme="7" tint="-0.499984740745262"/>
      </right>
      <top style="thin">
        <color theme="7" tint="-0.499984740745262"/>
      </top>
      <bottom style="thick">
        <color theme="7" tint="-0.499984740745262"/>
      </bottom>
      <diagonal/>
    </border>
    <border>
      <left/>
      <right/>
      <top/>
      <bottom style="medium">
        <color rgb="FFD2D2D2"/>
      </bottom>
      <diagonal/>
    </border>
    <border>
      <left/>
      <right/>
      <top style="medium">
        <color rgb="FFD2D2D2"/>
      </top>
      <bottom/>
      <diagonal/>
    </border>
    <border>
      <left style="medium">
        <color theme="7" tint="-0.499984740745262"/>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style="medium">
        <color theme="7" tint="-0.499984740745262"/>
      </right>
      <top/>
      <bottom style="medium">
        <color theme="7" tint="-0.499984740745262"/>
      </bottom>
      <diagonal/>
    </border>
    <border>
      <left/>
      <right/>
      <top style="medium">
        <color theme="7" tint="-0.499984740745262"/>
      </top>
      <bottom/>
      <diagonal/>
    </border>
    <border>
      <left/>
      <right/>
      <top/>
      <bottom style="medium">
        <color theme="7" tint="-0.499984740745262"/>
      </bottom>
      <diagonal/>
    </border>
    <border>
      <left style="medium">
        <color theme="5"/>
      </left>
      <right style="medium">
        <color theme="0"/>
      </right>
      <top style="medium">
        <color theme="5"/>
      </top>
      <bottom style="medium">
        <color theme="0"/>
      </bottom>
      <diagonal/>
    </border>
    <border>
      <left style="medium">
        <color theme="0"/>
      </left>
      <right style="medium">
        <color theme="0"/>
      </right>
      <top style="medium">
        <color theme="5"/>
      </top>
      <bottom style="medium">
        <color theme="0"/>
      </bottom>
      <diagonal/>
    </border>
    <border>
      <left style="medium">
        <color theme="0"/>
      </left>
      <right style="medium">
        <color theme="5"/>
      </right>
      <top style="medium">
        <color theme="5"/>
      </top>
      <bottom style="medium">
        <color theme="0"/>
      </bottom>
      <diagonal/>
    </border>
    <border>
      <left style="medium">
        <color theme="5"/>
      </left>
      <right style="medium">
        <color theme="0"/>
      </right>
      <top style="medium">
        <color theme="0"/>
      </top>
      <bottom style="medium">
        <color theme="5"/>
      </bottom>
      <diagonal/>
    </border>
    <border>
      <left style="medium">
        <color theme="0"/>
      </left>
      <right style="medium">
        <color theme="0"/>
      </right>
      <top style="medium">
        <color theme="0"/>
      </top>
      <bottom style="medium">
        <color theme="5"/>
      </bottom>
      <diagonal/>
    </border>
    <border>
      <left style="medium">
        <color theme="0"/>
      </left>
      <right style="medium">
        <color theme="5"/>
      </right>
      <top style="medium">
        <color theme="0"/>
      </top>
      <bottom style="medium">
        <color theme="5"/>
      </bottom>
      <diagonal/>
    </border>
    <border>
      <left/>
      <right style="medium">
        <color theme="5"/>
      </right>
      <top style="medium">
        <color theme="5"/>
      </top>
      <bottom style="medium">
        <color theme="0"/>
      </bottom>
      <diagonal/>
    </border>
    <border>
      <left/>
      <right style="medium">
        <color theme="5"/>
      </right>
      <top style="medium">
        <color theme="0"/>
      </top>
      <bottom style="medium">
        <color theme="5"/>
      </bottom>
      <diagonal/>
    </border>
    <border>
      <left style="thin">
        <color rgb="FFD2D2D2"/>
      </left>
      <right style="thin">
        <color rgb="FFD2D2D2"/>
      </right>
      <top/>
      <bottom style="thin">
        <color rgb="FFD2D2D2"/>
      </bottom>
      <diagonal/>
    </border>
    <border>
      <left style="thin">
        <color rgb="FFD2D2D2"/>
      </left>
      <right/>
      <top/>
      <bottom style="thin">
        <color rgb="FFD2D2D2"/>
      </bottom>
      <diagonal/>
    </border>
    <border>
      <left style="thin">
        <color rgb="FFD2D2D2"/>
      </left>
      <right style="thin">
        <color rgb="FFD2D2D2"/>
      </right>
      <top style="thin">
        <color rgb="FFD2D2D2"/>
      </top>
      <bottom style="thin">
        <color rgb="FFD2D2D2"/>
      </bottom>
      <diagonal/>
    </border>
    <border>
      <left style="thin">
        <color rgb="FFD2D2D2"/>
      </left>
      <right/>
      <top style="thin">
        <color rgb="FFD2D2D2"/>
      </top>
      <bottom style="thin">
        <color rgb="FFD2D2D2"/>
      </bottom>
      <diagonal/>
    </border>
    <border>
      <left style="medium">
        <color rgb="FF0078D4"/>
      </left>
      <right style="medium">
        <color rgb="FF0078D4"/>
      </right>
      <top style="medium">
        <color rgb="FF0078D4"/>
      </top>
      <bottom style="medium">
        <color rgb="FF0078D4"/>
      </bottom>
      <diagonal/>
    </border>
    <border>
      <left style="thin">
        <color rgb="FFD2D2D2"/>
      </left>
      <right style="thin">
        <color rgb="FFD2D2D2"/>
      </right>
      <top style="medium">
        <color rgb="FFD2D2D2"/>
      </top>
      <bottom style="thin">
        <color rgb="FFD2D2D2"/>
      </bottom>
      <diagonal/>
    </border>
    <border>
      <left style="thin">
        <color rgb="FFD2D2D2"/>
      </left>
      <right/>
      <top style="medium">
        <color rgb="FFD2D2D2"/>
      </top>
      <bottom style="thin">
        <color rgb="FFD2D2D2"/>
      </bottom>
      <diagonal/>
    </border>
    <border>
      <left style="thin">
        <color rgb="FFD2D2D2"/>
      </left>
      <right style="thin">
        <color rgb="FFD2D2D2"/>
      </right>
      <top style="thin">
        <color rgb="FFD2D2D2"/>
      </top>
      <bottom style="medium">
        <color rgb="FFD2D2D2"/>
      </bottom>
      <diagonal/>
    </border>
    <border>
      <left style="thin">
        <color rgb="FFD2D2D2"/>
      </left>
      <right/>
      <top style="thin">
        <color rgb="FFD2D2D2"/>
      </top>
      <bottom style="medium">
        <color rgb="FFD2D2D2"/>
      </bottom>
      <diagonal/>
    </border>
    <border>
      <left/>
      <right style="medium">
        <color theme="5"/>
      </right>
      <top style="medium">
        <color theme="5"/>
      </top>
      <bottom/>
      <diagonal/>
    </border>
    <border>
      <left/>
      <right style="medium">
        <color theme="5"/>
      </right>
      <top/>
      <bottom style="medium">
        <color theme="5"/>
      </bottom>
      <diagonal/>
    </border>
    <border>
      <left style="medium">
        <color theme="0"/>
      </left>
      <right style="medium">
        <color theme="0"/>
      </right>
      <top style="medium">
        <color theme="5"/>
      </top>
      <bottom/>
      <diagonal/>
    </border>
    <border>
      <left style="medium">
        <color theme="0"/>
      </left>
      <right style="medium">
        <color theme="0"/>
      </right>
      <top/>
      <bottom style="medium">
        <color theme="5"/>
      </bottom>
      <diagonal/>
    </border>
    <border>
      <left style="medium">
        <color theme="5"/>
      </left>
      <right style="medium">
        <color theme="0"/>
      </right>
      <top style="medium">
        <color theme="5"/>
      </top>
      <bottom/>
      <diagonal/>
    </border>
    <border>
      <left style="medium">
        <color theme="5"/>
      </left>
      <right style="medium">
        <color theme="0"/>
      </right>
      <top/>
      <bottom style="medium">
        <color theme="5"/>
      </bottom>
      <diagonal/>
    </border>
    <border>
      <left/>
      <right style="medium">
        <color theme="0"/>
      </right>
      <top style="medium">
        <color theme="5"/>
      </top>
      <bottom/>
      <diagonal/>
    </border>
    <border>
      <left/>
      <right style="medium">
        <color theme="0"/>
      </right>
      <top/>
      <bottom style="medium">
        <color theme="5"/>
      </bottom>
      <diagonal/>
    </border>
    <border>
      <left style="medium">
        <color theme="7" tint="-0.249977111117893"/>
      </left>
      <right style="medium">
        <color theme="7" tint="-0.249977111117893"/>
      </right>
      <top style="medium">
        <color theme="7" tint="-0.249977111117893"/>
      </top>
      <bottom style="medium">
        <color theme="7" tint="-0.249977111117893"/>
      </bottom>
      <diagonal/>
    </border>
    <border>
      <left style="medium">
        <color theme="7" tint="-0.249977111117893"/>
      </left>
      <right/>
      <top style="medium">
        <color theme="7" tint="-0.249977111117893"/>
      </top>
      <bottom/>
      <diagonal/>
    </border>
    <border>
      <left/>
      <right style="medium">
        <color theme="7" tint="-0.249977111117893"/>
      </right>
      <top style="medium">
        <color theme="7" tint="-0.249977111117893"/>
      </top>
      <bottom/>
      <diagonal/>
    </border>
    <border>
      <left style="medium">
        <color theme="7" tint="-0.249977111117893"/>
      </left>
      <right/>
      <top/>
      <bottom style="medium">
        <color theme="7" tint="-0.249977111117893"/>
      </bottom>
      <diagonal/>
    </border>
    <border>
      <left/>
      <right style="medium">
        <color theme="7" tint="-0.249977111117893"/>
      </right>
      <top/>
      <bottom style="medium">
        <color theme="7" tint="-0.249977111117893"/>
      </bottom>
      <diagonal/>
    </border>
    <border>
      <left/>
      <right/>
      <top style="medium">
        <color theme="7" tint="-0.249977111117893"/>
      </top>
      <bottom/>
      <diagonal/>
    </border>
    <border>
      <left/>
      <right/>
      <top/>
      <bottom style="medium">
        <color theme="7" tint="-0.249977111117893"/>
      </bottom>
      <diagonal/>
    </border>
    <border>
      <left/>
      <right/>
      <top style="medium">
        <color theme="7" tint="-0.499984740745262"/>
      </top>
      <bottom style="medium">
        <color theme="7" tint="-0.499984740745262"/>
      </bottom>
      <diagonal/>
    </border>
    <border>
      <left/>
      <right/>
      <top/>
      <bottom style="medium">
        <color theme="2"/>
      </bottom>
      <diagonal/>
    </border>
    <border>
      <left/>
      <right/>
      <top/>
      <bottom style="thick">
        <color theme="2"/>
      </bottom>
      <diagonal/>
    </border>
    <border>
      <left/>
      <right/>
      <top style="thick">
        <color theme="2"/>
      </top>
      <bottom/>
      <diagonal/>
    </border>
    <border>
      <left style="medium">
        <color theme="7" tint="-0.249977111117893"/>
      </left>
      <right/>
      <top/>
      <bottom/>
      <diagonal/>
    </border>
    <border>
      <left/>
      <right style="medium">
        <color theme="7" tint="-0.249977111117893"/>
      </right>
      <top/>
      <bottom/>
      <diagonal/>
    </border>
    <border>
      <left style="thick">
        <color theme="2"/>
      </left>
      <right/>
      <top style="thick">
        <color theme="2"/>
      </top>
      <bottom/>
      <diagonal/>
    </border>
    <border>
      <left/>
      <right style="thick">
        <color theme="2"/>
      </right>
      <top style="thick">
        <color theme="2"/>
      </top>
      <bottom/>
      <diagonal/>
    </border>
    <border>
      <left style="thick">
        <color theme="2"/>
      </left>
      <right/>
      <top/>
      <bottom/>
      <diagonal/>
    </border>
    <border>
      <left/>
      <right style="thick">
        <color theme="2"/>
      </right>
      <top/>
      <bottom/>
      <diagonal/>
    </border>
    <border>
      <left style="thick">
        <color theme="2"/>
      </left>
      <right/>
      <top/>
      <bottom style="thick">
        <color theme="2"/>
      </bottom>
      <diagonal/>
    </border>
    <border>
      <left/>
      <right style="thick">
        <color theme="2"/>
      </right>
      <top/>
      <bottom style="thick">
        <color theme="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rgb="FF005B9F"/>
      </left>
      <right/>
      <top style="medium">
        <color rgb="FF005B9F"/>
      </top>
      <bottom style="medium">
        <color rgb="FF005B9F"/>
      </bottom>
      <diagonal/>
    </border>
    <border>
      <left/>
      <right/>
      <top style="medium">
        <color rgb="FF005B9F"/>
      </top>
      <bottom style="medium">
        <color rgb="FF005B9F"/>
      </bottom>
      <diagonal/>
    </border>
    <border>
      <left/>
      <right style="medium">
        <color rgb="FF005B9F"/>
      </right>
      <top style="medium">
        <color rgb="FF005B9F"/>
      </top>
      <bottom style="medium">
        <color rgb="FF005B9F"/>
      </bottom>
      <diagonal/>
    </border>
    <border>
      <left/>
      <right/>
      <top/>
      <bottom style="thick">
        <color theme="3"/>
      </bottom>
      <diagonal/>
    </border>
    <border>
      <left style="medium">
        <color theme="7" tint="-0.499984740745262"/>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s>
  <cellStyleXfs count="4">
    <xf numFmtId="0" fontId="0" fillId="0" borderId="0"/>
    <xf numFmtId="9" fontId="1" fillId="0" borderId="0" applyFont="0" applyFill="0" applyBorder="0" applyAlignment="0" applyProtection="0"/>
    <xf numFmtId="0" fontId="19" fillId="0" borderId="0" applyNumberFormat="0" applyFill="0" applyBorder="0" applyAlignment="0" applyProtection="0"/>
    <xf numFmtId="44" fontId="1" fillId="0" borderId="0" applyFont="0" applyFill="0" applyBorder="0" applyAlignment="0" applyProtection="0"/>
  </cellStyleXfs>
  <cellXfs count="214">
    <xf numFmtId="0" fontId="0" fillId="0" borderId="0" xfId="0"/>
    <xf numFmtId="164" fontId="0" fillId="0" borderId="0" xfId="0" applyNumberFormat="1"/>
    <xf numFmtId="0" fontId="0" fillId="2" borderId="0" xfId="0" applyFill="1"/>
    <xf numFmtId="0" fontId="0" fillId="4" borderId="0" xfId="0" applyFill="1"/>
    <xf numFmtId="0" fontId="0" fillId="4" borderId="0" xfId="0" applyFill="1" applyAlignment="1">
      <alignment vertical="center"/>
    </xf>
    <xf numFmtId="0" fontId="0" fillId="0" borderId="0" xfId="0" quotePrefix="1"/>
    <xf numFmtId="0" fontId="0" fillId="4" borderId="2" xfId="0" applyFill="1" applyBorder="1"/>
    <xf numFmtId="0" fontId="5" fillId="4" borderId="0" xfId="0" applyFont="1" applyFill="1" applyAlignment="1">
      <alignment horizontal="left" vertical="center"/>
    </xf>
    <xf numFmtId="0" fontId="0" fillId="5" borderId="0" xfId="0" applyFill="1"/>
    <xf numFmtId="0" fontId="14" fillId="7" borderId="0" xfId="0" applyFont="1" applyFill="1"/>
    <xf numFmtId="0" fontId="17" fillId="7" borderId="0" xfId="0" applyFont="1" applyFill="1"/>
    <xf numFmtId="0" fontId="16" fillId="7" borderId="0" xfId="0" applyFont="1" applyFill="1"/>
    <xf numFmtId="0" fontId="8" fillId="4" borderId="0" xfId="0" applyFont="1" applyFill="1" applyAlignment="1">
      <alignment vertical="top" wrapText="1"/>
    </xf>
    <xf numFmtId="0" fontId="0" fillId="4" borderId="0" xfId="0" applyFill="1" applyAlignment="1">
      <alignment vertical="top"/>
    </xf>
    <xf numFmtId="0" fontId="7" fillId="4" borderId="0" xfId="0" applyFont="1" applyFill="1" applyAlignment="1">
      <alignment vertical="center" wrapText="1"/>
    </xf>
    <xf numFmtId="0" fontId="22" fillId="0" borderId="0" xfId="0" applyFont="1"/>
    <xf numFmtId="166" fontId="0" fillId="0" borderId="0" xfId="0" applyNumberFormat="1"/>
    <xf numFmtId="3" fontId="0" fillId="0" borderId="0" xfId="0" applyNumberFormat="1"/>
    <xf numFmtId="0" fontId="21" fillId="5" borderId="1" xfId="0" applyFont="1" applyFill="1" applyBorder="1" applyAlignment="1">
      <alignment vertical="center"/>
    </xf>
    <xf numFmtId="0" fontId="3" fillId="4" borderId="0" xfId="0" applyFont="1" applyFill="1" applyAlignment="1">
      <alignment vertical="center"/>
    </xf>
    <xf numFmtId="3" fontId="3" fillId="4" borderId="0" xfId="0" applyNumberFormat="1" applyFont="1" applyFill="1" applyAlignment="1">
      <alignment vertical="center"/>
    </xf>
    <xf numFmtId="167" fontId="0" fillId="0" borderId="0" xfId="1" applyNumberFormat="1" applyFont="1"/>
    <xf numFmtId="0" fontId="14" fillId="7" borderId="0" xfId="0" applyFont="1" applyFill="1" applyAlignment="1">
      <alignment wrapText="1"/>
    </xf>
    <xf numFmtId="0" fontId="0" fillId="2" borderId="0" xfId="0" applyFill="1" applyAlignment="1">
      <alignment wrapText="1"/>
    </xf>
    <xf numFmtId="0" fontId="24" fillId="2" borderId="0" xfId="0" applyFont="1" applyFill="1"/>
    <xf numFmtId="0" fontId="13" fillId="2" borderId="0" xfId="0" applyFont="1" applyFill="1"/>
    <xf numFmtId="0" fontId="13" fillId="2" borderId="0" xfId="0" applyFont="1" applyFill="1" applyAlignment="1">
      <alignment wrapText="1"/>
    </xf>
    <xf numFmtId="0" fontId="0" fillId="0" borderId="0" xfId="0" applyAlignment="1">
      <alignment vertical="center"/>
    </xf>
    <xf numFmtId="165" fontId="0" fillId="0" borderId="0" xfId="0" applyNumberFormat="1" applyAlignment="1">
      <alignment vertical="center"/>
    </xf>
    <xf numFmtId="3" fontId="0" fillId="0" borderId="0" xfId="0" applyNumberFormat="1" applyAlignment="1">
      <alignment vertical="center"/>
    </xf>
    <xf numFmtId="0" fontId="27" fillId="0" borderId="0" xfId="0" applyFont="1" applyAlignment="1">
      <alignment wrapText="1"/>
    </xf>
    <xf numFmtId="0" fontId="25" fillId="4" borderId="0" xfId="0" applyFont="1" applyFill="1" applyAlignment="1">
      <alignment vertical="top"/>
    </xf>
    <xf numFmtId="0" fontId="3" fillId="4" borderId="18" xfId="0" applyFont="1" applyFill="1" applyBorder="1" applyAlignment="1">
      <alignment horizontal="left" vertical="center" wrapText="1" indent="1"/>
    </xf>
    <xf numFmtId="0" fontId="3" fillId="4" borderId="19" xfId="0" applyFont="1" applyFill="1" applyBorder="1" applyAlignment="1">
      <alignment horizontal="left" vertical="center" indent="1"/>
    </xf>
    <xf numFmtId="0" fontId="3" fillId="4" borderId="20" xfId="0" applyFont="1" applyFill="1" applyBorder="1" applyAlignment="1">
      <alignment horizontal="left" vertical="center" wrapText="1" indent="1"/>
    </xf>
    <xf numFmtId="0" fontId="3" fillId="4" borderId="21" xfId="0" applyFont="1" applyFill="1" applyBorder="1" applyAlignment="1">
      <alignment horizontal="left" vertical="center" indent="1"/>
    </xf>
    <xf numFmtId="0" fontId="3" fillId="4" borderId="23" xfId="0" applyFont="1" applyFill="1" applyBorder="1" applyAlignment="1">
      <alignment horizontal="left" vertical="center" wrapText="1" indent="1"/>
    </xf>
    <xf numFmtId="0" fontId="3" fillId="4" borderId="24" xfId="0" applyFont="1" applyFill="1" applyBorder="1" applyAlignment="1">
      <alignment horizontal="left" vertical="center" indent="1"/>
    </xf>
    <xf numFmtId="0" fontId="5" fillId="4" borderId="25" xfId="0" applyFont="1" applyFill="1" applyBorder="1" applyAlignment="1">
      <alignment horizontal="left" vertical="center" wrapText="1" indent="1"/>
    </xf>
    <xf numFmtId="0" fontId="5" fillId="4" borderId="26" xfId="0" applyFont="1" applyFill="1" applyBorder="1" applyAlignment="1">
      <alignment horizontal="left" vertical="center" indent="1"/>
    </xf>
    <xf numFmtId="0" fontId="6" fillId="2" borderId="0" xfId="0" applyFont="1" applyFill="1" applyAlignment="1">
      <alignment horizontal="left" vertical="top" wrapText="1"/>
    </xf>
    <xf numFmtId="0" fontId="4" fillId="6" borderId="0" xfId="2" applyFont="1" applyFill="1" applyAlignment="1">
      <alignment horizontal="center" vertical="center"/>
    </xf>
    <xf numFmtId="0" fontId="27" fillId="4" borderId="0" xfId="0" applyFont="1" applyFill="1" applyAlignment="1">
      <alignment vertical="top" wrapText="1"/>
    </xf>
    <xf numFmtId="0" fontId="9" fillId="4" borderId="0" xfId="0" applyFont="1" applyFill="1" applyAlignment="1">
      <alignment horizontal="left" vertical="center"/>
    </xf>
    <xf numFmtId="168" fontId="0" fillId="0" borderId="0" xfId="3" applyNumberFormat="1" applyFont="1"/>
    <xf numFmtId="0" fontId="24" fillId="2" borderId="0" xfId="0" applyFont="1" applyFill="1" applyAlignment="1">
      <alignment wrapText="1"/>
    </xf>
    <xf numFmtId="0" fontId="5" fillId="5" borderId="22" xfId="0" applyFont="1" applyFill="1" applyBorder="1" applyAlignment="1">
      <alignment horizontal="center" vertical="center"/>
    </xf>
    <xf numFmtId="0" fontId="26" fillId="10" borderId="35" xfId="0" applyFont="1" applyFill="1" applyBorder="1" applyAlignment="1">
      <alignment horizontal="right" vertical="center" wrapText="1"/>
    </xf>
    <xf numFmtId="0" fontId="0" fillId="2" borderId="41" xfId="0" applyFill="1" applyBorder="1"/>
    <xf numFmtId="0" fontId="39" fillId="0" borderId="0" xfId="0" applyFont="1" applyAlignment="1">
      <alignment wrapText="1"/>
    </xf>
    <xf numFmtId="0" fontId="12" fillId="2" borderId="9" xfId="0" applyFont="1" applyFill="1" applyBorder="1" applyAlignment="1">
      <alignment vertical="top" wrapText="1"/>
    </xf>
    <xf numFmtId="0" fontId="12" fillId="2" borderId="42" xfId="0" applyFont="1" applyFill="1" applyBorder="1" applyAlignment="1">
      <alignment vertical="top" wrapText="1"/>
    </xf>
    <xf numFmtId="0" fontId="33" fillId="2" borderId="0" xfId="0" applyFont="1" applyFill="1"/>
    <xf numFmtId="0" fontId="0" fillId="2" borderId="0" xfId="0" applyFill="1" applyAlignment="1">
      <alignment vertical="center" wrapText="1"/>
    </xf>
    <xf numFmtId="0" fontId="0" fillId="2" borderId="43" xfId="0" applyFill="1" applyBorder="1"/>
    <xf numFmtId="0" fontId="6" fillId="4" borderId="44" xfId="0" applyFont="1" applyFill="1" applyBorder="1" applyAlignment="1">
      <alignment vertical="top" wrapText="1"/>
    </xf>
    <xf numFmtId="0" fontId="0" fillId="4" borderId="44" xfId="0" applyFill="1" applyBorder="1"/>
    <xf numFmtId="0" fontId="0" fillId="5" borderId="36" xfId="0" applyFill="1" applyBorder="1"/>
    <xf numFmtId="0" fontId="40" fillId="11" borderId="40" xfId="0" applyFont="1" applyFill="1" applyBorder="1" applyAlignment="1">
      <alignment vertical="top" wrapText="1"/>
    </xf>
    <xf numFmtId="0" fontId="0" fillId="5" borderId="37" xfId="0" applyFill="1" applyBorder="1"/>
    <xf numFmtId="0" fontId="0" fillId="5" borderId="46" xfId="0" applyFill="1" applyBorder="1"/>
    <xf numFmtId="0" fontId="0" fillId="5" borderId="47" xfId="0" applyFill="1" applyBorder="1"/>
    <xf numFmtId="0" fontId="6" fillId="5" borderId="47" xfId="0" applyFont="1" applyFill="1" applyBorder="1" applyAlignment="1">
      <alignment vertical="top" wrapText="1"/>
    </xf>
    <xf numFmtId="0" fontId="0" fillId="5" borderId="38" xfId="0" applyFill="1" applyBorder="1"/>
    <xf numFmtId="0" fontId="0" fillId="5" borderId="41" xfId="0" applyFill="1" applyBorder="1"/>
    <xf numFmtId="0" fontId="0" fillId="5" borderId="39" xfId="0" applyFill="1" applyBorder="1"/>
    <xf numFmtId="0" fontId="0" fillId="2" borderId="44" xfId="0" applyFill="1" applyBorder="1"/>
    <xf numFmtId="0" fontId="0" fillId="4" borderId="48" xfId="0" applyFill="1" applyBorder="1"/>
    <xf numFmtId="0" fontId="6" fillId="4" borderId="49" xfId="0" applyFont="1" applyFill="1" applyBorder="1" applyAlignment="1">
      <alignment vertical="top" wrapText="1"/>
    </xf>
    <xf numFmtId="0" fontId="0" fillId="4" borderId="50" xfId="0" applyFill="1" applyBorder="1"/>
    <xf numFmtId="0" fontId="0" fillId="4" borderId="51" xfId="0" applyFill="1" applyBorder="1"/>
    <xf numFmtId="0" fontId="0" fillId="4" borderId="52" xfId="0" applyFill="1" applyBorder="1"/>
    <xf numFmtId="0" fontId="0" fillId="4" borderId="53" xfId="0" applyFill="1" applyBorder="1"/>
    <xf numFmtId="0" fontId="27" fillId="4" borderId="44" xfId="0" applyFont="1" applyFill="1" applyBorder="1" applyAlignment="1">
      <alignment vertical="top"/>
    </xf>
    <xf numFmtId="0" fontId="43" fillId="0" borderId="0" xfId="0" applyFont="1" applyAlignment="1">
      <alignment wrapText="1"/>
    </xf>
    <xf numFmtId="0" fontId="33" fillId="2" borderId="0" xfId="0" quotePrefix="1" applyFont="1" applyFill="1" applyAlignment="1">
      <alignment horizontal="center" vertical="top"/>
    </xf>
    <xf numFmtId="0" fontId="46" fillId="2" borderId="0" xfId="0" applyFont="1" applyFill="1" applyAlignment="1">
      <alignment horizontal="center" vertical="top" wrapText="1"/>
    </xf>
    <xf numFmtId="0" fontId="33" fillId="2" borderId="0" xfId="0" quotePrefix="1" applyFont="1" applyFill="1" applyAlignment="1">
      <alignment horizontal="center" vertical="center"/>
    </xf>
    <xf numFmtId="0" fontId="0" fillId="2" borderId="55" xfId="0" applyFill="1" applyBorder="1"/>
    <xf numFmtId="0" fontId="0" fillId="2" borderId="56" xfId="0" applyFill="1" applyBorder="1"/>
    <xf numFmtId="0" fontId="0" fillId="2" borderId="57" xfId="0" applyFill="1" applyBorder="1"/>
    <xf numFmtId="0" fontId="0" fillId="2" borderId="58" xfId="0" applyFill="1" applyBorder="1"/>
    <xf numFmtId="0" fontId="0" fillId="2" borderId="59" xfId="0" applyFill="1" applyBorder="1"/>
    <xf numFmtId="0" fontId="0" fillId="2" borderId="60" xfId="0" applyFill="1" applyBorder="1"/>
    <xf numFmtId="0" fontId="0" fillId="2" borderId="61" xfId="0" applyFill="1" applyBorder="1"/>
    <xf numFmtId="0" fontId="0" fillId="14" borderId="0" xfId="0" applyFill="1"/>
    <xf numFmtId="0" fontId="52" fillId="14" borderId="0" xfId="0" applyFont="1" applyFill="1" applyAlignment="1">
      <alignment vertical="center"/>
    </xf>
    <xf numFmtId="0" fontId="27" fillId="14" borderId="0" xfId="0" applyFont="1" applyFill="1" applyAlignment="1">
      <alignment vertical="top" wrapText="1"/>
    </xf>
    <xf numFmtId="0" fontId="6" fillId="2" borderId="0" xfId="0" applyFont="1" applyFill="1" applyAlignment="1">
      <alignment vertical="top" wrapText="1"/>
    </xf>
    <xf numFmtId="0" fontId="6" fillId="4" borderId="0" xfId="0" applyFont="1" applyFill="1" applyAlignment="1">
      <alignment vertical="top" wrapText="1"/>
    </xf>
    <xf numFmtId="0" fontId="11" fillId="2" borderId="0" xfId="0" applyFont="1" applyFill="1" applyAlignment="1">
      <alignment horizontal="left" vertical="center"/>
    </xf>
    <xf numFmtId="0" fontId="28" fillId="4" borderId="0" xfId="0" applyFont="1" applyFill="1" applyAlignment="1">
      <alignment vertical="center" wrapText="1"/>
    </xf>
    <xf numFmtId="0" fontId="3" fillId="4" borderId="0" xfId="0" applyFont="1" applyFill="1" applyAlignment="1">
      <alignment vertical="top" wrapText="1"/>
    </xf>
    <xf numFmtId="0" fontId="12" fillId="2" borderId="0" xfId="0" applyFont="1" applyFill="1" applyAlignment="1">
      <alignment vertical="top" wrapText="1"/>
    </xf>
    <xf numFmtId="0" fontId="0" fillId="2" borderId="0" xfId="0" applyFill="1" applyAlignment="1">
      <alignment vertical="top" wrapText="1"/>
    </xf>
    <xf numFmtId="0" fontId="14" fillId="7" borderId="0" xfId="0" applyFont="1" applyFill="1" applyAlignment="1">
      <alignment horizontal="left" vertical="center" indent="1"/>
    </xf>
    <xf numFmtId="0" fontId="14" fillId="7" borderId="0" xfId="0" applyFont="1" applyFill="1" applyAlignment="1">
      <alignment horizontal="left" vertical="center" wrapText="1" indent="1"/>
    </xf>
    <xf numFmtId="0" fontId="4" fillId="6" borderId="0" xfId="2" quotePrefix="1" applyFont="1" applyFill="1" applyAlignment="1">
      <alignment horizontal="center" vertical="center" wrapText="1"/>
    </xf>
    <xf numFmtId="0" fontId="45" fillId="6" borderId="0" xfId="2" applyFont="1" applyFill="1" applyAlignment="1">
      <alignment horizontal="center" vertical="center" wrapText="1"/>
    </xf>
    <xf numFmtId="0" fontId="16" fillId="7" borderId="0" xfId="0" applyFont="1" applyFill="1" applyAlignment="1">
      <alignment vertical="center"/>
    </xf>
    <xf numFmtId="0" fontId="14" fillId="7" borderId="0" xfId="0" applyFont="1" applyFill="1" applyAlignment="1">
      <alignment vertical="top" wrapText="1"/>
    </xf>
    <xf numFmtId="0" fontId="0" fillId="5" borderId="66" xfId="0" applyFill="1" applyBorder="1" applyAlignment="1">
      <alignment horizontal="left" vertical="center" wrapText="1" indent="1"/>
    </xf>
    <xf numFmtId="0" fontId="0" fillId="5" borderId="67" xfId="0" applyFill="1" applyBorder="1" applyAlignment="1">
      <alignment horizontal="left" vertical="center" wrapText="1" indent="1"/>
    </xf>
    <xf numFmtId="0" fontId="0" fillId="4" borderId="0" xfId="0" applyFill="1" applyAlignment="1">
      <alignment wrapText="1"/>
    </xf>
    <xf numFmtId="0" fontId="11" fillId="2" borderId="0" xfId="0" applyFont="1" applyFill="1" applyAlignment="1">
      <alignment horizontal="left"/>
    </xf>
    <xf numFmtId="0" fontId="11" fillId="4" borderId="2" xfId="0" applyFont="1" applyFill="1" applyBorder="1" applyAlignment="1">
      <alignment horizontal="left" vertical="center" indent="2"/>
    </xf>
    <xf numFmtId="0" fontId="6" fillId="2" borderId="0" xfId="0" applyFont="1" applyFill="1" applyAlignment="1">
      <alignment vertical="top" wrapText="1"/>
    </xf>
    <xf numFmtId="0" fontId="6" fillId="4" borderId="3" xfId="0" applyFont="1" applyFill="1" applyBorder="1" applyAlignment="1">
      <alignment vertical="top" wrapText="1"/>
    </xf>
    <xf numFmtId="0" fontId="6" fillId="4" borderId="0" xfId="0" applyFont="1" applyFill="1" applyAlignment="1">
      <alignment vertical="top" wrapText="1"/>
    </xf>
    <xf numFmtId="0" fontId="6" fillId="4" borderId="0" xfId="0" applyFont="1" applyFill="1" applyAlignment="1">
      <alignment horizontal="left" vertical="top" wrapText="1"/>
    </xf>
    <xf numFmtId="0" fontId="47" fillId="9" borderId="0" xfId="0" applyFont="1" applyFill="1" applyAlignment="1">
      <alignment wrapText="1"/>
    </xf>
    <xf numFmtId="0" fontId="31" fillId="4" borderId="0" xfId="0" applyFont="1" applyFill="1" applyAlignment="1">
      <alignment horizontal="left" vertical="top" wrapText="1"/>
    </xf>
    <xf numFmtId="0" fontId="6" fillId="5" borderId="36"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37" xfId="0" applyFont="1" applyFill="1" applyBorder="1" applyAlignment="1">
      <alignment horizontal="center" vertical="center"/>
    </xf>
    <xf numFmtId="0" fontId="6" fillId="5" borderId="38"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9" xfId="0" applyFont="1" applyFill="1" applyBorder="1" applyAlignment="1">
      <alignment horizontal="center" vertical="center"/>
    </xf>
    <xf numFmtId="0" fontId="6" fillId="4" borderId="0" xfId="0" applyFont="1" applyFill="1" applyAlignment="1">
      <alignment horizontal="left" vertical="center" indent="1"/>
    </xf>
    <xf numFmtId="0" fontId="44" fillId="4" borderId="0" xfId="0" applyFont="1" applyFill="1" applyAlignment="1">
      <alignment horizontal="left" vertical="center"/>
    </xf>
    <xf numFmtId="0" fontId="28" fillId="4" borderId="0" xfId="0" applyFont="1" applyFill="1" applyAlignment="1">
      <alignment horizontal="left" vertical="center" wrapText="1" indent="3"/>
    </xf>
    <xf numFmtId="0" fontId="28" fillId="4" borderId="44" xfId="0" applyFont="1" applyFill="1" applyBorder="1" applyAlignment="1">
      <alignment horizontal="left" vertical="center" wrapText="1" indent="3"/>
    </xf>
    <xf numFmtId="0" fontId="25" fillId="4" borderId="16" xfId="0" applyFont="1" applyFill="1" applyBorder="1" applyAlignment="1">
      <alignment horizontal="center" vertical="center"/>
    </xf>
    <xf numFmtId="0" fontId="25" fillId="4" borderId="17" xfId="0" applyFont="1" applyFill="1" applyBorder="1" applyAlignment="1">
      <alignment horizontal="center" vertical="center"/>
    </xf>
    <xf numFmtId="0" fontId="34" fillId="6" borderId="0" xfId="2" quotePrefix="1" applyFont="1" applyFill="1" applyAlignment="1">
      <alignment horizontal="center" vertical="center" wrapText="1"/>
    </xf>
    <xf numFmtId="0" fontId="25" fillId="4" borderId="10" xfId="0" applyFont="1" applyFill="1" applyBorder="1" applyAlignment="1">
      <alignment horizontal="center" vertical="center"/>
    </xf>
    <xf numFmtId="0" fontId="25" fillId="4" borderId="13" xfId="0" applyFont="1" applyFill="1" applyBorder="1" applyAlignment="1">
      <alignment horizontal="center" vertical="center"/>
    </xf>
    <xf numFmtId="0" fontId="25" fillId="4" borderId="11" xfId="0" applyFont="1" applyFill="1" applyBorder="1" applyAlignment="1">
      <alignment horizontal="center" vertical="center"/>
    </xf>
    <xf numFmtId="0" fontId="25" fillId="4" borderId="14" xfId="0" applyFont="1" applyFill="1" applyBorder="1" applyAlignment="1">
      <alignment horizontal="center" vertical="center"/>
    </xf>
    <xf numFmtId="0" fontId="28" fillId="4" borderId="0" xfId="0" applyFont="1" applyFill="1" applyAlignment="1">
      <alignment vertical="center" wrapText="1"/>
    </xf>
    <xf numFmtId="0" fontId="11" fillId="2" borderId="0" xfId="0" applyFont="1" applyFill="1" applyAlignment="1">
      <alignment horizontal="left" vertical="center"/>
    </xf>
    <xf numFmtId="0" fontId="27" fillId="2" borderId="0" xfId="0" applyFont="1" applyFill="1" applyAlignment="1">
      <alignment vertical="top" wrapText="1"/>
    </xf>
    <xf numFmtId="0" fontId="27" fillId="3" borderId="0" xfId="0" applyFont="1" applyFill="1" applyAlignment="1">
      <alignment horizontal="left" vertical="center" wrapText="1"/>
    </xf>
    <xf numFmtId="0" fontId="27" fillId="13" borderId="0" xfId="0" applyFont="1" applyFill="1" applyAlignment="1">
      <alignment horizontal="left" vertical="center" wrapText="1"/>
    </xf>
    <xf numFmtId="0" fontId="29" fillId="4" borderId="0" xfId="0" applyFont="1" applyFill="1" applyAlignment="1">
      <alignment horizontal="left" vertical="center" wrapText="1"/>
    </xf>
    <xf numFmtId="0" fontId="27" fillId="4" borderId="0" xfId="0" applyFont="1" applyFill="1" applyAlignment="1">
      <alignment vertical="top" wrapText="1"/>
    </xf>
    <xf numFmtId="0" fontId="27" fillId="4" borderId="44" xfId="0" applyFont="1" applyFill="1" applyBorder="1" applyAlignment="1">
      <alignment vertical="top" wrapText="1"/>
    </xf>
    <xf numFmtId="0" fontId="28" fillId="5" borderId="36" xfId="0" applyFont="1" applyFill="1" applyBorder="1" applyAlignment="1">
      <alignment horizontal="center" vertical="center"/>
    </xf>
    <xf numFmtId="0" fontId="28" fillId="5" borderId="37" xfId="0" applyFont="1" applyFill="1" applyBorder="1" applyAlignment="1">
      <alignment horizontal="center" vertical="center"/>
    </xf>
    <xf numFmtId="0" fontId="28" fillId="5" borderId="38" xfId="0" applyFont="1" applyFill="1" applyBorder="1" applyAlignment="1">
      <alignment horizontal="center" vertical="center"/>
    </xf>
    <xf numFmtId="0" fontId="28" fillId="5" borderId="39" xfId="0" applyFont="1" applyFill="1" applyBorder="1" applyAlignment="1">
      <alignment horizontal="center" vertical="center"/>
    </xf>
    <xf numFmtId="0" fontId="35" fillId="4" borderId="0" xfId="0" applyFont="1" applyFill="1" applyAlignment="1">
      <alignment vertical="center" wrapText="1"/>
    </xf>
    <xf numFmtId="0" fontId="35" fillId="4" borderId="44" xfId="0" applyFont="1" applyFill="1" applyBorder="1" applyAlignment="1">
      <alignment vertical="center" wrapText="1"/>
    </xf>
    <xf numFmtId="0" fontId="48" fillId="2" borderId="54" xfId="0" applyFont="1" applyFill="1" applyBorder="1" applyAlignment="1">
      <alignment horizontal="left" vertical="center" indent="1"/>
    </xf>
    <xf numFmtId="0" fontId="48" fillId="2" borderId="55" xfId="0" applyFont="1" applyFill="1" applyBorder="1" applyAlignment="1">
      <alignment horizontal="left" vertical="center" indent="1"/>
    </xf>
    <xf numFmtId="0" fontId="27" fillId="2" borderId="0" xfId="0" applyFont="1" applyFill="1" applyAlignment="1">
      <alignment vertical="center" wrapText="1"/>
    </xf>
    <xf numFmtId="0" fontId="27" fillId="4" borderId="0" xfId="0" applyFont="1" applyFill="1" applyAlignment="1">
      <alignment wrapText="1"/>
    </xf>
    <xf numFmtId="0" fontId="27" fillId="4" borderId="44" xfId="0" applyFont="1" applyFill="1" applyBorder="1" applyAlignment="1">
      <alignment wrapText="1"/>
    </xf>
    <xf numFmtId="0" fontId="29" fillId="4" borderId="45" xfId="0" applyFont="1" applyFill="1" applyBorder="1" applyAlignment="1">
      <alignment horizontal="left" vertical="center" wrapText="1"/>
    </xf>
    <xf numFmtId="0" fontId="30" fillId="4" borderId="0" xfId="0" applyFont="1" applyFill="1" applyAlignment="1">
      <alignment horizontal="center"/>
    </xf>
    <xf numFmtId="0" fontId="8" fillId="4" borderId="0" xfId="0" applyFont="1" applyFill="1" applyAlignment="1">
      <alignment horizontal="center" vertical="center"/>
    </xf>
    <xf numFmtId="0" fontId="32" fillId="6" borderId="31" xfId="0" applyFont="1" applyFill="1" applyBorder="1" applyAlignment="1">
      <alignment horizontal="center" vertical="center"/>
    </xf>
    <xf numFmtId="0" fontId="32" fillId="6" borderId="32" xfId="0" applyFont="1" applyFill="1" applyBorder="1" applyAlignment="1">
      <alignment horizontal="center" vertical="center"/>
    </xf>
    <xf numFmtId="0" fontId="32" fillId="6" borderId="29" xfId="0" applyFont="1" applyFill="1" applyBorder="1" applyAlignment="1">
      <alignment horizontal="center" vertical="center"/>
    </xf>
    <xf numFmtId="0" fontId="32" fillId="6" borderId="30" xfId="0" applyFont="1" applyFill="1" applyBorder="1" applyAlignment="1">
      <alignment horizontal="center" vertical="center"/>
    </xf>
    <xf numFmtId="0" fontId="32" fillId="6" borderId="33" xfId="0" applyFont="1" applyFill="1" applyBorder="1" applyAlignment="1">
      <alignment horizontal="center" vertical="center"/>
    </xf>
    <xf numFmtId="0" fontId="32" fillId="6" borderId="34" xfId="0" applyFont="1" applyFill="1" applyBorder="1" applyAlignment="1">
      <alignment horizontal="center" vertical="center"/>
    </xf>
    <xf numFmtId="0" fontId="32" fillId="6" borderId="27" xfId="0" applyFont="1" applyFill="1" applyBorder="1" applyAlignment="1">
      <alignment horizontal="center" vertical="center"/>
    </xf>
    <xf numFmtId="0" fontId="32" fillId="6" borderId="28" xfId="0" applyFont="1" applyFill="1" applyBorder="1" applyAlignment="1">
      <alignment horizontal="center" vertical="center"/>
    </xf>
    <xf numFmtId="168" fontId="18" fillId="5" borderId="36" xfId="0" applyNumberFormat="1" applyFont="1" applyFill="1" applyBorder="1" applyAlignment="1">
      <alignment horizontal="center" vertical="center"/>
    </xf>
    <xf numFmtId="168" fontId="18" fillId="5" borderId="40" xfId="0" applyNumberFormat="1" applyFont="1" applyFill="1" applyBorder="1" applyAlignment="1">
      <alignment horizontal="center" vertical="center"/>
    </xf>
    <xf numFmtId="168" fontId="18" fillId="5" borderId="37" xfId="0" applyNumberFormat="1" applyFont="1" applyFill="1" applyBorder="1" applyAlignment="1">
      <alignment horizontal="center" vertical="center"/>
    </xf>
    <xf numFmtId="168" fontId="18" fillId="5" borderId="38" xfId="0" applyNumberFormat="1" applyFont="1" applyFill="1" applyBorder="1" applyAlignment="1">
      <alignment horizontal="center" vertical="center"/>
    </xf>
    <xf numFmtId="168" fontId="18" fillId="5" borderId="41" xfId="0" applyNumberFormat="1" applyFont="1" applyFill="1" applyBorder="1" applyAlignment="1">
      <alignment horizontal="center" vertical="center"/>
    </xf>
    <xf numFmtId="168" fontId="18" fillId="5" borderId="39" xfId="0" applyNumberFormat="1" applyFont="1" applyFill="1" applyBorder="1" applyAlignment="1">
      <alignment horizontal="center" vertical="center"/>
    </xf>
    <xf numFmtId="0" fontId="28" fillId="4" borderId="45" xfId="0" applyFont="1" applyFill="1" applyBorder="1" applyAlignment="1">
      <alignment horizontal="left" vertical="center" wrapText="1" indent="3"/>
    </xf>
    <xf numFmtId="0" fontId="18" fillId="5" borderId="4" xfId="0" applyFont="1" applyFill="1" applyBorder="1" applyAlignment="1">
      <alignment horizontal="center" vertical="center"/>
    </xf>
    <xf numFmtId="0" fontId="18" fillId="5" borderId="5"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8" fillId="4" borderId="8" xfId="0" applyFont="1" applyFill="1" applyBorder="1" applyAlignment="1">
      <alignment horizontal="center" vertical="center"/>
    </xf>
    <xf numFmtId="0" fontId="20" fillId="8" borderId="0" xfId="0" applyFont="1" applyFill="1" applyAlignment="1">
      <alignment horizontal="center" vertical="center"/>
    </xf>
    <xf numFmtId="0" fontId="7" fillId="4" borderId="0" xfId="0" applyFont="1" applyFill="1" applyAlignment="1">
      <alignment horizontal="left" vertical="center" wrapText="1"/>
    </xf>
    <xf numFmtId="0" fontId="2" fillId="2" borderId="0" xfId="0" applyFont="1" applyFill="1" applyAlignment="1">
      <alignment horizontal="left"/>
    </xf>
    <xf numFmtId="0" fontId="3" fillId="2" borderId="0" xfId="0" applyFont="1" applyFill="1" applyAlignment="1">
      <alignment vertical="top" wrapText="1"/>
    </xf>
    <xf numFmtId="0" fontId="23" fillId="5" borderId="4"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7" xfId="0" applyFont="1" applyFill="1" applyBorder="1" applyAlignment="1">
      <alignment horizontal="center" vertical="center"/>
    </xf>
    <xf numFmtId="0" fontId="3" fillId="4" borderId="0" xfId="0" applyFont="1" applyFill="1" applyAlignment="1">
      <alignment vertical="top" wrapText="1"/>
    </xf>
    <xf numFmtId="0" fontId="3" fillId="4" borderId="0" xfId="0" applyFont="1" applyFill="1" applyAlignment="1">
      <alignment horizontal="left" vertical="center" wrapText="1"/>
    </xf>
    <xf numFmtId="0" fontId="5" fillId="4" borderId="0" xfId="0" applyFont="1" applyFill="1" applyAlignment="1">
      <alignment horizontal="center"/>
    </xf>
    <xf numFmtId="0" fontId="44" fillId="4" borderId="0" xfId="0" applyFont="1" applyFill="1" applyAlignment="1">
      <alignment horizontal="left" vertical="top"/>
    </xf>
    <xf numFmtId="0" fontId="35" fillId="4" borderId="0" xfId="0" applyFont="1" applyFill="1" applyAlignment="1">
      <alignment wrapText="1"/>
    </xf>
    <xf numFmtId="0" fontId="45" fillId="6" borderId="0" xfId="2" quotePrefix="1" applyFont="1" applyFill="1" applyAlignment="1">
      <alignment horizontal="center" vertical="center" wrapText="1"/>
    </xf>
    <xf numFmtId="0" fontId="25" fillId="4" borderId="12" xfId="0" applyFont="1" applyFill="1" applyBorder="1" applyAlignment="1">
      <alignment horizontal="center" vertical="center"/>
    </xf>
    <xf numFmtId="0" fontId="25" fillId="4" borderId="15" xfId="0" applyFont="1" applyFill="1" applyBorder="1" applyAlignment="1">
      <alignment horizontal="center" vertical="center"/>
    </xf>
    <xf numFmtId="0" fontId="6" fillId="5" borderId="62" xfId="0" applyFont="1" applyFill="1" applyBorder="1" applyAlignment="1">
      <alignment horizontal="center" vertical="center"/>
    </xf>
    <xf numFmtId="0" fontId="6" fillId="5" borderId="63" xfId="0" applyFont="1" applyFill="1" applyBorder="1" applyAlignment="1">
      <alignment horizontal="center" vertical="center"/>
    </xf>
    <xf numFmtId="0" fontId="6" fillId="5" borderId="64" xfId="0" applyFont="1" applyFill="1" applyBorder="1" applyAlignment="1">
      <alignment horizontal="center" vertical="center"/>
    </xf>
    <xf numFmtId="0" fontId="9" fillId="4" borderId="0" xfId="0" applyFont="1" applyFill="1" applyAlignment="1">
      <alignment horizontal="center" vertical="center"/>
    </xf>
    <xf numFmtId="0" fontId="28" fillId="4" borderId="0" xfId="0" applyFont="1" applyFill="1" applyAlignment="1">
      <alignment horizontal="center"/>
    </xf>
    <xf numFmtId="0" fontId="50" fillId="4" borderId="0" xfId="0" applyFont="1" applyFill="1" applyAlignment="1">
      <alignment horizontal="left" wrapText="1" indent="1"/>
    </xf>
    <xf numFmtId="0" fontId="51" fillId="14" borderId="0" xfId="0" applyFont="1" applyFill="1" applyAlignment="1">
      <alignment horizontal="left" vertical="center" wrapText="1"/>
    </xf>
    <xf numFmtId="0" fontId="53" fillId="14" borderId="0" xfId="0" applyFont="1" applyFill="1" applyAlignment="1">
      <alignment horizontal="left" vertical="center" wrapText="1"/>
    </xf>
    <xf numFmtId="0" fontId="49" fillId="4" borderId="0" xfId="0" applyFont="1" applyFill="1" applyAlignment="1">
      <alignment horizontal="left" vertical="top" indent="1"/>
    </xf>
    <xf numFmtId="0" fontId="50" fillId="4" borderId="0" xfId="0" applyFont="1" applyFill="1" applyAlignment="1">
      <alignment horizontal="left" indent="1"/>
    </xf>
    <xf numFmtId="0" fontId="54" fillId="2" borderId="65" xfId="0" applyFont="1" applyFill="1" applyBorder="1" applyAlignment="1">
      <alignment horizontal="left" indent="1"/>
    </xf>
    <xf numFmtId="0" fontId="41" fillId="12" borderId="0" xfId="0" applyFont="1" applyFill="1" applyAlignment="1">
      <alignment horizontal="center" vertical="center" wrapText="1"/>
    </xf>
    <xf numFmtId="0" fontId="42" fillId="11" borderId="0" xfId="0" applyFont="1" applyFill="1" applyAlignment="1">
      <alignment vertical="top" wrapText="1"/>
    </xf>
    <xf numFmtId="0" fontId="29" fillId="2" borderId="0" xfId="0" applyFont="1" applyFill="1" applyAlignment="1">
      <alignment vertical="top" wrapText="1"/>
    </xf>
    <xf numFmtId="0" fontId="36" fillId="2" borderId="0" xfId="0" applyFont="1" applyFill="1" applyAlignment="1">
      <alignment vertical="top" wrapText="1"/>
    </xf>
    <xf numFmtId="0" fontId="38" fillId="2" borderId="0" xfId="0" quotePrefix="1" applyFont="1" applyFill="1" applyAlignment="1">
      <alignment horizontal="left" vertical="center" wrapText="1"/>
    </xf>
    <xf numFmtId="0" fontId="12" fillId="2" borderId="0" xfId="0" applyFont="1" applyFill="1" applyAlignment="1">
      <alignment vertical="top" wrapText="1"/>
    </xf>
    <xf numFmtId="0" fontId="12" fillId="2" borderId="0" xfId="0" applyFont="1" applyFill="1" applyAlignment="1">
      <alignment horizontal="left" vertical="top" wrapText="1"/>
    </xf>
    <xf numFmtId="0" fontId="0" fillId="4" borderId="0" xfId="0" applyFill="1" applyAlignment="1">
      <alignment vertical="top" wrapText="1"/>
    </xf>
    <xf numFmtId="0" fontId="0" fillId="2" borderId="0" xfId="0" applyFill="1" applyAlignment="1">
      <alignment vertical="top" wrapText="1"/>
    </xf>
    <xf numFmtId="0" fontId="0" fillId="4" borderId="0" xfId="0" applyFill="1" applyAlignment="1">
      <alignment horizontal="left" vertical="top" wrapText="1"/>
    </xf>
    <xf numFmtId="0" fontId="0" fillId="2" borderId="0" xfId="0" applyFill="1" applyAlignment="1">
      <alignment horizontal="left" vertical="center" wrapText="1"/>
    </xf>
    <xf numFmtId="0" fontId="0" fillId="2" borderId="0" xfId="0" applyFill="1" applyAlignment="1">
      <alignment horizontal="left" vertical="center"/>
    </xf>
    <xf numFmtId="0" fontId="15" fillId="7" borderId="0" xfId="0" applyFont="1" applyFill="1" applyAlignment="1"/>
    <xf numFmtId="0" fontId="37" fillId="2" borderId="0" xfId="0" applyFont="1" applyFill="1" applyAlignment="1"/>
  </cellXfs>
  <cellStyles count="4">
    <cellStyle name="Currency" xfId="3" builtinId="4"/>
    <cellStyle name="Hyperlink" xfId="2" builtinId="8"/>
    <cellStyle name="Normal" xfId="0" builtinId="0"/>
    <cellStyle name="Percent" xfId="1" builtinId="5"/>
  </cellStyles>
  <dxfs count="144">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auto="1"/>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general" vertical="center" textRotation="0" wrapText="0" indent="0" justifyLastLine="0" shrinkToFit="0" readingOrder="0"/>
    </dxf>
    <dxf>
      <numFmt numFmtId="0" formatCode="General"/>
    </dxf>
    <dxf>
      <numFmt numFmtId="0" formatCode="General"/>
    </dxf>
    <dxf>
      <numFmt numFmtId="164" formatCode="#,##0.0"/>
    </dxf>
    <dxf>
      <numFmt numFmtId="0" formatCode="General"/>
    </dxf>
    <dxf>
      <numFmt numFmtId="0" formatCode="General"/>
    </dxf>
    <dxf>
      <numFmt numFmtId="0" formatCode="General"/>
    </dxf>
    <dxf>
      <font>
        <color theme="2"/>
      </font>
      <fill>
        <patternFill>
          <bgColor theme="2"/>
        </patternFill>
      </fill>
      <border>
        <left style="thin">
          <color theme="2"/>
        </left>
        <right style="thin">
          <color theme="2"/>
        </right>
        <top style="thin">
          <color theme="2"/>
        </top>
        <bottom style="thin">
          <color theme="2"/>
        </bottom>
        <vertical/>
        <horizontal/>
      </border>
    </dxf>
    <dxf>
      <font>
        <b/>
        <i val="0"/>
        <color theme="3" tint="-0.24994659260841701"/>
      </font>
      <fill>
        <patternFill>
          <bgColor theme="0"/>
        </patternFill>
      </fill>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auto="1"/>
        </patternFill>
      </fill>
    </dxf>
    <dxf>
      <font>
        <strike val="0"/>
        <outline val="0"/>
        <shadow val="0"/>
        <u val="none"/>
        <vertAlign val="baseline"/>
        <sz val="11"/>
        <color theme="1"/>
        <name val="Segoe UI"/>
        <family val="2"/>
        <scheme val="minor"/>
      </font>
      <fill>
        <patternFill patternType="none">
          <fgColor indexed="64"/>
          <bgColor auto="1"/>
        </patternFill>
      </fill>
      <alignment horizontal="general" vertical="center" textRotation="0" wrapText="0" indent="0" justifyLastLine="0" shrinkToFit="0" readingOrder="0"/>
    </dxf>
    <dxf>
      <font>
        <color theme="3"/>
      </font>
      <fill>
        <patternFill>
          <bgColor rgb="FFE0E0E0"/>
        </patternFill>
      </fill>
    </dxf>
    <dxf>
      <font>
        <color theme="0"/>
      </font>
      <fill>
        <patternFill>
          <bgColor theme="5"/>
        </patternFill>
      </fill>
    </dxf>
    <dxf>
      <font>
        <color theme="3"/>
      </font>
      <fill>
        <patternFill>
          <bgColor rgb="FFE0E0E0"/>
        </patternFill>
      </fill>
    </dxf>
    <dxf>
      <font>
        <color theme="8" tint="-0.499984740745262"/>
      </font>
      <fill>
        <patternFill>
          <bgColor theme="8" tint="0.79998168889431442"/>
        </patternFill>
      </fill>
    </dxf>
    <dxf>
      <font>
        <color theme="4" tint="-0.499984740745262"/>
      </font>
      <fill>
        <patternFill>
          <bgColor theme="4" tint="0.79998168889431442"/>
        </patternFill>
      </fill>
    </dxf>
    <dxf>
      <font>
        <color theme="8" tint="-0.499984740745262"/>
      </font>
      <fill>
        <patternFill>
          <bgColor theme="8" tint="0.79998168889431442"/>
        </patternFill>
      </fill>
    </dxf>
    <dxf>
      <font>
        <color theme="4" tint="-0.499984740745262"/>
      </font>
      <fill>
        <patternFill>
          <bgColor theme="4" tint="0.79998168889431442"/>
        </patternFill>
      </fill>
    </dxf>
    <dxf>
      <numFmt numFmtId="0" formatCode="General"/>
    </dxf>
    <dxf>
      <numFmt numFmtId="0" formatCode="General"/>
    </dxf>
    <dxf>
      <font>
        <b val="0"/>
        <i val="0"/>
        <strike val="0"/>
        <condense val="0"/>
        <extend val="0"/>
        <outline val="0"/>
        <shadow val="0"/>
        <u val="none"/>
        <vertAlign val="baseline"/>
        <sz val="11"/>
        <color theme="1"/>
        <name val="Segoe UI Symbol"/>
        <family val="2"/>
        <scheme val="none"/>
      </font>
    </dxf>
    <dxf>
      <numFmt numFmtId="0" formatCode="General"/>
    </dxf>
    <dxf>
      <numFmt numFmtId="0" formatCode="General"/>
    </dxf>
    <dxf>
      <numFmt numFmtId="0" formatCode="General"/>
    </dxf>
    <dxf>
      <numFmt numFmtId="3" formatCode="#,##0"/>
    </dxf>
    <dxf>
      <numFmt numFmtId="0" formatCode="General"/>
    </dxf>
    <dxf>
      <numFmt numFmtId="166" formatCode="dd\ mmm\ yyyy"/>
    </dxf>
    <dxf>
      <numFmt numFmtId="3" formatCode="#,##0"/>
    </dxf>
    <dxf>
      <numFmt numFmtId="0" formatCode="General"/>
    </dxf>
    <dxf>
      <numFmt numFmtId="0" formatCode="General"/>
    </dxf>
    <dxf>
      <font>
        <strike val="0"/>
        <outline val="0"/>
        <shadow val="0"/>
        <u val="none"/>
        <vertAlign val="baseline"/>
        <sz val="13"/>
        <name val="Segoe UI"/>
        <family val="2"/>
        <scheme val="minor"/>
      </font>
      <numFmt numFmtId="3" formatCode="#,##0"/>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3"/>
        <name val="Segoe UI"/>
        <family val="2"/>
        <scheme val="minor"/>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3"/>
        <name val="Segoe UI"/>
        <family val="2"/>
        <scheme val="minor"/>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3"/>
        <name val="Segoe UI"/>
        <family val="2"/>
        <scheme val="minor"/>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3"/>
        <name val="Segoe UI"/>
        <family val="2"/>
        <scheme val="minor"/>
      </font>
      <fill>
        <patternFill patternType="solid">
          <fgColor indexed="64"/>
          <bgColor theme="0"/>
        </patternFill>
      </fill>
      <alignment horizontal="general" vertical="center" textRotation="0" wrapText="0" indent="0" justifyLastLine="0" shrinkToFit="0" readingOrder="0"/>
    </dxf>
    <dxf>
      <font>
        <color theme="8" tint="-0.499984740745262"/>
      </font>
      <fill>
        <patternFill>
          <bgColor theme="8" tint="0.79998168889431442"/>
        </patternFill>
      </fill>
    </dxf>
    <dxf>
      <font>
        <color theme="4" tint="-0.499984740745262"/>
      </font>
      <fill>
        <patternFill>
          <bgColor theme="4" tint="0.79998168889431442"/>
        </patternFill>
      </fill>
    </dxf>
    <dxf>
      <font>
        <strike val="0"/>
        <outline val="0"/>
        <shadow val="0"/>
        <u val="none"/>
        <vertAlign val="baseline"/>
        <sz val="12"/>
        <color rgb="FF2F2F2F"/>
        <name val="Segoe UI"/>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rgb="FF2F2F2F"/>
        <name val="Segoe UI"/>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name val="Segoe U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name val="Segoe UI"/>
        <family val="2"/>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name val="Segoe U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5"/>
        <color theme="1"/>
        <name val="Segoe UI"/>
        <family val="2"/>
        <scheme val="minor"/>
      </font>
      <fill>
        <patternFill patternType="none">
          <fgColor indexed="64"/>
          <bgColor indexed="65"/>
        </patternFill>
      </fill>
      <alignment horizontal="general" vertical="bottom" textRotation="0" wrapText="1" indent="0" justifyLastLine="0" shrinkToFit="0" readingOrder="0"/>
    </dxf>
    <dxf>
      <font>
        <color theme="3"/>
      </font>
      <fill>
        <patternFill>
          <bgColor rgb="FFE0E0E0"/>
        </patternFill>
      </fill>
    </dxf>
    <dxf>
      <font>
        <color theme="0"/>
      </font>
      <fill>
        <patternFill>
          <bgColor theme="5"/>
        </patternFill>
      </fill>
    </dxf>
    <dxf>
      <font>
        <color theme="3"/>
      </font>
      <fill>
        <patternFill>
          <bgColor rgb="FFE0E0E0"/>
        </patternFill>
      </fill>
    </dxf>
    <dxf>
      <font>
        <color theme="8" tint="-0.499984740745262"/>
      </font>
      <fill>
        <patternFill>
          <bgColor theme="8" tint="0.79998168889431442"/>
        </patternFill>
      </fill>
    </dxf>
    <dxf>
      <font>
        <color theme="4" tint="-0.499984740745262"/>
      </font>
      <fill>
        <patternFill>
          <bgColor theme="4" tint="0.79998168889431442"/>
        </patternFill>
      </fill>
    </dxf>
    <dxf>
      <font>
        <strike val="0"/>
        <outline val="0"/>
        <shadow val="0"/>
        <u val="none"/>
        <vertAlign val="baseline"/>
        <sz val="11"/>
        <color theme="1"/>
        <name val="Segoe U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numFmt numFmtId="3"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fill>
        <patternFill patternType="none">
          <fgColor rgb="FF000000"/>
          <bgColor auto="1"/>
        </patternFill>
      </fill>
      <alignment horizontal="general" vertical="center" textRotation="0" wrapText="0" indent="0" justifyLastLine="0" shrinkToFit="0" readingOrder="0"/>
    </dxf>
    <dxf>
      <font>
        <strike val="0"/>
        <outline val="0"/>
        <shadow val="0"/>
        <u val="none"/>
        <vertAlign val="baseline"/>
        <sz val="11.5"/>
        <color theme="1"/>
        <name val="Segoe UI"/>
        <family val="2"/>
        <scheme val="minor"/>
      </font>
      <fill>
        <patternFill patternType="none">
          <fgColor indexed="64"/>
          <bgColor auto="1"/>
        </patternFill>
      </fill>
      <alignment horizontal="general" vertical="bottom" textRotation="0" wrapText="1" indent="0" justifyLastLine="0" shrinkToFit="0" readingOrder="0"/>
    </dxf>
    <dxf>
      <font>
        <color theme="3"/>
      </font>
      <fill>
        <patternFill>
          <bgColor rgb="FFE0E0E0"/>
        </patternFill>
      </fill>
    </dxf>
    <dxf>
      <font>
        <color theme="0"/>
      </font>
      <fill>
        <patternFill>
          <bgColor theme="5"/>
        </patternFill>
      </fill>
    </dxf>
    <dxf>
      <font>
        <color theme="3"/>
      </font>
      <fill>
        <patternFill>
          <bgColor rgb="FFE0E0E0"/>
        </patternFill>
      </fill>
    </dxf>
    <dxf>
      <font>
        <color theme="8" tint="-0.499984740745262"/>
      </font>
      <fill>
        <patternFill>
          <bgColor theme="8" tint="0.79998168889431442"/>
        </patternFill>
      </fill>
    </dxf>
    <dxf>
      <font>
        <color theme="4" tint="-0.499984740745262"/>
      </font>
      <fill>
        <patternFill>
          <bgColor theme="4" tint="0.79998168889431442"/>
        </patternFill>
      </fill>
    </dxf>
    <dxf>
      <fill>
        <patternFill>
          <bgColor theme="8" tint="0.79998168889431442"/>
        </patternFill>
      </fill>
    </dxf>
    <dxf>
      <font>
        <strike val="0"/>
        <outline val="0"/>
        <shadow val="0"/>
        <u val="none"/>
        <vertAlign val="baseline"/>
        <sz val="11"/>
        <color theme="1"/>
        <name val="Segoe UI"/>
        <family val="2"/>
        <scheme val="minor"/>
      </font>
      <numFmt numFmtId="3"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numFmt numFmtId="165" formatCode="yyyy"/>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1"/>
        <name val="Segoe U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5"/>
        <color theme="1"/>
        <name val="Segoe UI"/>
        <family val="2"/>
        <scheme val="minor"/>
      </font>
      <fill>
        <patternFill patternType="none">
          <fgColor indexed="64"/>
          <bgColor indexed="65"/>
        </patternFill>
      </fill>
      <alignment horizontal="general" vertical="bottom" textRotation="0" wrapText="1" indent="0" justifyLastLine="0" shrinkToFit="0" readingOrder="0"/>
    </dxf>
    <dxf>
      <font>
        <color theme="3"/>
      </font>
      <fill>
        <patternFill>
          <bgColor rgb="FFE0E0E0"/>
        </patternFill>
      </fill>
    </dxf>
    <dxf>
      <font>
        <color theme="0"/>
      </font>
      <fill>
        <patternFill>
          <bgColor theme="5"/>
        </patternFill>
      </fill>
    </dxf>
    <dxf>
      <font>
        <color theme="3"/>
      </font>
      <fill>
        <patternFill>
          <bgColor rgb="FFE0E0E0"/>
        </patternFill>
      </fill>
    </dxf>
    <dxf>
      <font>
        <color theme="8" tint="-0.499984740745262"/>
      </font>
      <fill>
        <patternFill>
          <bgColor theme="8" tint="0.79998168889431442"/>
        </patternFill>
      </fill>
    </dxf>
    <dxf>
      <font>
        <color theme="4" tint="-0.499984740745262"/>
      </font>
      <fill>
        <patternFill>
          <bgColor theme="4" tint="0.79998168889431442"/>
        </patternFill>
      </fill>
    </dxf>
    <dxf>
      <font>
        <color theme="3"/>
      </font>
      <fill>
        <patternFill>
          <bgColor rgb="FFE0E0E0"/>
        </patternFill>
      </fill>
    </dxf>
    <dxf>
      <font>
        <color theme="8" tint="-0.499984740745262"/>
      </font>
      <fill>
        <patternFill>
          <bgColor theme="8" tint="0.79998168889431442"/>
        </patternFill>
      </fill>
    </dxf>
    <dxf>
      <font>
        <color theme="4" tint="-0.499984740745262"/>
      </font>
      <fill>
        <patternFill>
          <bgColor theme="4" tint="0.79998168889431442"/>
        </patternFill>
      </fill>
    </dxf>
    <dxf>
      <font>
        <color theme="0"/>
      </font>
      <fill>
        <patternFill>
          <bgColor theme="5"/>
        </patternFill>
      </fill>
    </dxf>
    <dxf>
      <font>
        <color theme="3"/>
      </font>
      <fill>
        <patternFill>
          <bgColor rgb="FFE0E0E0"/>
        </patternFill>
      </fill>
    </dxf>
    <dxf>
      <fill>
        <patternFill>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numFmt numFmtId="0" formatCode="General"/>
    </dxf>
    <dxf>
      <numFmt numFmtId="0" formatCode="General"/>
    </dxf>
    <dxf>
      <numFmt numFmtId="167" formatCode="0.0%"/>
    </dxf>
    <dxf>
      <numFmt numFmtId="0" formatCode="General"/>
    </dxf>
    <dxf>
      <numFmt numFmtId="0" formatCode="General"/>
    </dxf>
    <dxf>
      <font>
        <color rgb="FF747474"/>
      </font>
      <fill>
        <patternFill>
          <bgColor rgb="FFE0E0E0"/>
        </patternFill>
      </fill>
    </dxf>
    <dxf>
      <font>
        <color theme="7" tint="-0.499984740745262"/>
      </font>
      <fill>
        <patternFill>
          <bgColor theme="7" tint="0.79998168889431442"/>
        </patternFill>
      </fill>
      <border>
        <bottom style="medium">
          <color theme="7" tint="-0.499984740745262"/>
        </bottom>
      </border>
    </dxf>
    <dxf>
      <fill>
        <patternFill patternType="solid">
          <bgColor theme="0"/>
        </patternFill>
      </fill>
      <border>
        <left style="thin">
          <color theme="7" tint="-0.499984740745262"/>
        </left>
        <right style="thin">
          <color theme="7" tint="-0.499984740745262"/>
        </right>
        <top style="thin">
          <color theme="7" tint="-0.499984740745262"/>
        </top>
        <bottom style="thin">
          <color theme="7" tint="-0.499984740745262"/>
        </bottom>
        <vertical style="thin">
          <color theme="7" tint="-0.499984740745262"/>
        </vertical>
        <horizontal style="thin">
          <color theme="7" tint="-0.499984740745262"/>
        </horizontal>
      </border>
    </dxf>
    <dxf>
      <font>
        <b/>
        <i val="0"/>
      </font>
      <border>
        <top style="double">
          <color auto="1"/>
        </top>
      </border>
    </dxf>
    <dxf>
      <font>
        <b/>
        <i val="0"/>
        <color theme="7" tint="-0.499984740745262"/>
      </font>
      <fill>
        <patternFill>
          <bgColor rgb="FFE7F7FF"/>
        </patternFill>
      </fill>
      <border>
        <bottom style="thick">
          <color theme="7" tint="-0.499984740745262"/>
        </bottom>
      </border>
    </dxf>
    <dxf>
      <border>
        <left style="thin">
          <color theme="7" tint="-0.499984740745262"/>
        </left>
        <right style="thin">
          <color theme="7" tint="-0.499984740745262"/>
        </right>
        <top style="thin">
          <color theme="7" tint="-0.499984740745262"/>
        </top>
        <bottom style="thin">
          <color theme="7" tint="-0.499984740745262"/>
        </bottom>
        <vertical style="thin">
          <color theme="7" tint="-0.499984740745262"/>
        </vertical>
        <horizontal style="thin">
          <color theme="7" tint="-0.499984740745262"/>
        </horizontal>
      </border>
    </dxf>
  </dxfs>
  <tableStyles count="3" defaultTableStyle="TableStyleMedium2" defaultPivotStyle="PivotStyleLight16">
    <tableStyle name="Day of Data" pivot="0" count="3" xr9:uid="{614FBDAA-E51A-489D-8A7D-CB9263A9432A}">
      <tableStyleElement type="wholeTable" dxfId="143"/>
      <tableStyleElement type="headerRow" dxfId="142"/>
      <tableStyleElement type="totalRow" dxfId="141"/>
    </tableStyle>
    <tableStyle name="Invisible" pivot="0" table="0" count="0" xr9:uid="{8E1FF1FD-9718-435D-9CCE-8FDDD45F44BF}"/>
    <tableStyle name="Table Style 1" pivot="0" count="2" xr9:uid="{943A7ECC-DB27-4E52-8704-30B54338E991}">
      <tableStyleElement type="wholeTable" dxfId="140"/>
      <tableStyleElement type="headerRow" dxfId="139"/>
    </tableStyle>
  </tableStyles>
  <colors>
    <mruColors>
      <color rgb="FFE0E0E0"/>
      <color rgb="FFE7F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17.xml"/><Relationship Id="rId1" Type="http://schemas.microsoft.com/office/2011/relationships/chartStyle" Target="style17.xml"/><Relationship Id="rId5" Type="http://schemas.openxmlformats.org/officeDocument/2006/relationships/image" Target="../media/image16.png"/><Relationship Id="rId4" Type="http://schemas.openxmlformats.org/officeDocument/2006/relationships/image" Target="../media/image15.png"/></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2.xml"/><Relationship Id="rId1" Type="http://schemas.microsoft.com/office/2011/relationships/chartStyle" Target="style22.xml"/><Relationship Id="rId5" Type="http://schemas.openxmlformats.org/officeDocument/2006/relationships/image" Target="../media/image19.png"/><Relationship Id="rId4" Type="http://schemas.openxmlformats.org/officeDocument/2006/relationships/image" Target="../media/image18.png"/></Relationships>
</file>

<file path=xl/charts/_rels/chart22.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5.xml"/><Relationship Id="rId1" Type="http://schemas.microsoft.com/office/2011/relationships/chartStyle" Target="style5.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charts/_rels/chart6.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r>
              <a:rPr lang="en-US"/>
              <a:t>Proportions by rocket</a:t>
            </a:r>
          </a:p>
        </c:rich>
      </c:tx>
      <c:layout>
        <c:manualLayout>
          <c:xMode val="edge"/>
          <c:yMode val="edge"/>
          <c:x val="0.40006795956628965"/>
          <c:y val="2.0841686874715205E-2"/>
        </c:manualLayout>
      </c:layout>
      <c:overlay val="0"/>
      <c:spPr>
        <a:noFill/>
        <a:ln>
          <a:noFill/>
        </a:ln>
        <a:effectLst/>
      </c:spPr>
      <c:txPr>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3368711178227"/>
          <c:y val="0.19796794667907278"/>
          <c:w val="0.84060502262411341"/>
          <c:h val="0.60562535307549537"/>
        </c:manualLayout>
      </c:layout>
      <c:barChart>
        <c:barDir val="col"/>
        <c:grouping val="percentStacked"/>
        <c:varyColors val="0"/>
        <c:ser>
          <c:idx val="2"/>
          <c:order val="0"/>
          <c:tx>
            <c:strRef>
              <c:f>'Tab1 Backend'!$P$51</c:f>
              <c:strCache>
                <c:ptCount val="1"/>
                <c:pt idx="0">
                  <c:v>Value2</c:v>
                </c:pt>
              </c:strCache>
            </c:strRef>
          </c:tx>
          <c:spPr>
            <a:solidFill>
              <a:schemeClr val="accent1"/>
            </a:solidFill>
            <a:ln>
              <a:noFill/>
            </a:ln>
            <a:effectLst/>
          </c:spPr>
          <c:invertIfNegative val="0"/>
          <c:cat>
            <c:strRef>
              <c:f>'Tab1 Backend'!$M$52:$M$61</c:f>
              <c:strCache>
                <c:ptCount val="10"/>
                <c:pt idx="0">
                  <c:v>R1</c:v>
                </c:pt>
                <c:pt idx="1">
                  <c:v>R2</c:v>
                </c:pt>
                <c:pt idx="2">
                  <c:v>R3</c:v>
                </c:pt>
                <c:pt idx="3">
                  <c:v>R4</c:v>
                </c:pt>
                <c:pt idx="4">
                  <c:v>R5</c:v>
                </c:pt>
                <c:pt idx="5">
                  <c:v>R6</c:v>
                </c:pt>
                <c:pt idx="6">
                  <c:v>R7</c:v>
                </c:pt>
                <c:pt idx="7">
                  <c:v>R8</c:v>
                </c:pt>
                <c:pt idx="8">
                  <c:v>R9</c:v>
                </c:pt>
                <c:pt idx="9">
                  <c:v>R10</c:v>
                </c:pt>
              </c:strCache>
            </c:strRef>
          </c:cat>
          <c:val>
            <c:numRef>
              <c:f>'Tab1 Backend'!$P$52:$P$61</c:f>
              <c:numCache>
                <c:formatCode>General</c:formatCode>
                <c:ptCount val="10"/>
                <c:pt idx="0">
                  <c:v>2293000</c:v>
                </c:pt>
                <c:pt idx="1">
                  <c:v>1108000</c:v>
                </c:pt>
                <c:pt idx="2">
                  <c:v>668000</c:v>
                </c:pt>
                <c:pt idx="3">
                  <c:v>520000</c:v>
                </c:pt>
                <c:pt idx="4">
                  <c:v>640000</c:v>
                </c:pt>
                <c:pt idx="5">
                  <c:v>518400</c:v>
                </c:pt>
                <c:pt idx="6">
                  <c:v>390000</c:v>
                </c:pt>
                <c:pt idx="7">
                  <c:v>285000</c:v>
                </c:pt>
                <c:pt idx="8">
                  <c:v>424000</c:v>
                </c:pt>
                <c:pt idx="9">
                  <c:v>277000</c:v>
                </c:pt>
              </c:numCache>
            </c:numRef>
          </c:val>
          <c:extLst>
            <c:ext xmlns:c16="http://schemas.microsoft.com/office/drawing/2014/chart" uri="{C3380CC4-5D6E-409C-BE32-E72D297353CC}">
              <c16:uniqueId val="{00000000-34BE-4E1F-B99A-86145ECFB76F}"/>
            </c:ext>
          </c:extLst>
        </c:ser>
        <c:ser>
          <c:idx val="1"/>
          <c:order val="1"/>
          <c:tx>
            <c:strRef>
              <c:f>'Tab1 Backend'!$O$51</c:f>
              <c:strCache>
                <c:ptCount val="1"/>
                <c:pt idx="0">
                  <c:v>Value1</c:v>
                </c:pt>
              </c:strCache>
            </c:strRef>
          </c:tx>
          <c:spPr>
            <a:solidFill>
              <a:schemeClr val="accent3"/>
            </a:solidFill>
            <a:ln>
              <a:noFill/>
            </a:ln>
            <a:effectLst/>
          </c:spPr>
          <c:invertIfNegative val="0"/>
          <c:cat>
            <c:strRef>
              <c:f>'Tab1 Backend'!$M$52:$M$61</c:f>
              <c:strCache>
                <c:ptCount val="10"/>
                <c:pt idx="0">
                  <c:v>R1</c:v>
                </c:pt>
                <c:pt idx="1">
                  <c:v>R2</c:v>
                </c:pt>
                <c:pt idx="2">
                  <c:v>R3</c:v>
                </c:pt>
                <c:pt idx="3">
                  <c:v>R4</c:v>
                </c:pt>
                <c:pt idx="4">
                  <c:v>R5</c:v>
                </c:pt>
                <c:pt idx="5">
                  <c:v>R6</c:v>
                </c:pt>
                <c:pt idx="6">
                  <c:v>R7</c:v>
                </c:pt>
                <c:pt idx="7">
                  <c:v>R8</c:v>
                </c:pt>
                <c:pt idx="8">
                  <c:v>R9</c:v>
                </c:pt>
                <c:pt idx="9">
                  <c:v>R10</c:v>
                </c:pt>
              </c:strCache>
            </c:strRef>
          </c:cat>
          <c:val>
            <c:numRef>
              <c:f>'Tab1 Backend'!$O$52:$O$61</c:f>
              <c:numCache>
                <c:formatCode>General</c:formatCode>
                <c:ptCount val="10"/>
                <c:pt idx="0">
                  <c:v>169000</c:v>
                </c:pt>
                <c:pt idx="1">
                  <c:v>122000</c:v>
                </c:pt>
                <c:pt idx="2">
                  <c:v>91200</c:v>
                </c:pt>
                <c:pt idx="3">
                  <c:v>44000</c:v>
                </c:pt>
                <c:pt idx="4">
                  <c:v>95000</c:v>
                </c:pt>
                <c:pt idx="5">
                  <c:v>30650</c:v>
                </c:pt>
                <c:pt idx="6">
                  <c:v>25000</c:v>
                </c:pt>
                <c:pt idx="7">
                  <c:v>37000</c:v>
                </c:pt>
                <c:pt idx="8">
                  <c:v>40000</c:v>
                </c:pt>
                <c:pt idx="9">
                  <c:v>25000</c:v>
                </c:pt>
              </c:numCache>
            </c:numRef>
          </c:val>
          <c:extLst>
            <c:ext xmlns:c16="http://schemas.microsoft.com/office/drawing/2014/chart" uri="{C3380CC4-5D6E-409C-BE32-E72D297353CC}">
              <c16:uniqueId val="{00000001-34BE-4E1F-B99A-86145ECFB76F}"/>
            </c:ext>
          </c:extLst>
        </c:ser>
        <c:ser>
          <c:idx val="0"/>
          <c:order val="2"/>
          <c:tx>
            <c:strRef>
              <c:f>'Tab1 Backend'!$N$51</c:f>
              <c:strCache>
                <c:ptCount val="1"/>
                <c:pt idx="0">
                  <c:v>Value</c:v>
                </c:pt>
              </c:strCache>
            </c:strRef>
          </c:tx>
          <c:spPr>
            <a:solidFill>
              <a:schemeClr val="accent4"/>
            </a:solidFill>
            <a:ln>
              <a:noFill/>
            </a:ln>
            <a:effectLst/>
          </c:spPr>
          <c:invertIfNegative val="0"/>
          <c:cat>
            <c:strRef>
              <c:f>'Tab1 Backend'!$M$52:$M$61</c:f>
              <c:strCache>
                <c:ptCount val="10"/>
                <c:pt idx="0">
                  <c:v>R1</c:v>
                </c:pt>
                <c:pt idx="1">
                  <c:v>R2</c:v>
                </c:pt>
                <c:pt idx="2">
                  <c:v>R3</c:v>
                </c:pt>
                <c:pt idx="3">
                  <c:v>R4</c:v>
                </c:pt>
                <c:pt idx="4">
                  <c:v>R5</c:v>
                </c:pt>
                <c:pt idx="5">
                  <c:v>R6</c:v>
                </c:pt>
                <c:pt idx="6">
                  <c:v>R7</c:v>
                </c:pt>
                <c:pt idx="7">
                  <c:v>R8</c:v>
                </c:pt>
                <c:pt idx="8">
                  <c:v>R9</c:v>
                </c:pt>
                <c:pt idx="9">
                  <c:v>R10</c:v>
                </c:pt>
              </c:strCache>
            </c:strRef>
          </c:cat>
          <c:val>
            <c:numRef>
              <c:f>'Tab1 Backend'!$N$52:$N$61</c:f>
              <c:numCache>
                <c:formatCode>General</c:formatCode>
                <c:ptCount val="10"/>
                <c:pt idx="0">
                  <c:v>95000</c:v>
                </c:pt>
                <c:pt idx="1">
                  <c:v>45000</c:v>
                </c:pt>
                <c:pt idx="2">
                  <c:v>21000</c:v>
                </c:pt>
                <c:pt idx="3">
                  <c:v>19000</c:v>
                </c:pt>
                <c:pt idx="4">
                  <c:v>16000</c:v>
                </c:pt>
                <c:pt idx="5">
                  <c:v>15600</c:v>
                </c:pt>
                <c:pt idx="6">
                  <c:v>10500</c:v>
                </c:pt>
                <c:pt idx="7">
                  <c:v>10000</c:v>
                </c:pt>
                <c:pt idx="8">
                  <c:v>8600</c:v>
                </c:pt>
                <c:pt idx="9">
                  <c:v>7020</c:v>
                </c:pt>
              </c:numCache>
            </c:numRef>
          </c:val>
          <c:extLst>
            <c:ext xmlns:c16="http://schemas.microsoft.com/office/drawing/2014/chart" uri="{C3380CC4-5D6E-409C-BE32-E72D297353CC}">
              <c16:uniqueId val="{00000002-34BE-4E1F-B99A-86145ECFB76F}"/>
            </c:ext>
          </c:extLst>
        </c:ser>
        <c:dLbls>
          <c:showLegendKey val="0"/>
          <c:showVal val="0"/>
          <c:showCatName val="0"/>
          <c:showSerName val="0"/>
          <c:showPercent val="0"/>
          <c:showBubbleSize val="0"/>
        </c:dLbls>
        <c:gapWidth val="219"/>
        <c:overlap val="100"/>
        <c:axId val="155886592"/>
        <c:axId val="1409242207"/>
      </c:barChart>
      <c:catAx>
        <c:axId val="155886592"/>
        <c:scaling>
          <c:orientation val="minMax"/>
        </c:scaling>
        <c:delete val="0"/>
        <c:axPos val="b"/>
        <c:title>
          <c:tx>
            <c:rich>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Category names</a:t>
                </a:r>
              </a:p>
            </c:rich>
          </c:tx>
          <c:overlay val="0"/>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solidFill>
                <a:latin typeface="+mn-lt"/>
                <a:ea typeface="+mn-ea"/>
                <a:cs typeface="+mn-cs"/>
              </a:defRPr>
            </a:pPr>
            <a:endParaRPr lang="en-US"/>
          </a:p>
        </c:txPr>
        <c:crossAx val="1409242207"/>
        <c:crosses val="autoZero"/>
        <c:auto val="1"/>
        <c:lblAlgn val="ctr"/>
        <c:lblOffset val="100"/>
        <c:noMultiLvlLbl val="0"/>
      </c:catAx>
      <c:valAx>
        <c:axId val="1409242207"/>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Proportion (%)</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155886592"/>
        <c:crosses val="autoZero"/>
        <c:crossBetween val="between"/>
      </c:valAx>
      <c:spPr>
        <a:noFill/>
        <a:ln>
          <a:noFill/>
        </a:ln>
        <a:effectLst/>
      </c:spPr>
    </c:plotArea>
    <c:legend>
      <c:legendPos val="t"/>
      <c:layout>
        <c:manualLayout>
          <c:xMode val="edge"/>
          <c:yMode val="edge"/>
          <c:x val="0.33576942363911827"/>
          <c:y val="0.11511558383801031"/>
          <c:w val="0.38604922860252222"/>
          <c:h val="6.8740368925208989E-2"/>
        </c:manualLayout>
      </c:layout>
      <c:overlay val="1"/>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6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5875356006031"/>
          <c:y val="0.15349373527269694"/>
          <c:w val="0.85096308706092594"/>
          <c:h val="0.65361305973405703"/>
        </c:manualLayout>
      </c:layout>
      <c:barChart>
        <c:barDir val="col"/>
        <c:grouping val="percentStacked"/>
        <c:varyColors val="0"/>
        <c:ser>
          <c:idx val="2"/>
          <c:order val="0"/>
          <c:tx>
            <c:strRef>
              <c:f>Translations!$K$434</c:f>
              <c:strCache>
                <c:ptCount val="1"/>
                <c:pt idx="0">
                  <c:v>Fuel mass (kg)</c:v>
                </c:pt>
              </c:strCache>
            </c:strRef>
          </c:tx>
          <c:spPr>
            <a:solidFill>
              <a:schemeClr val="accent1"/>
            </a:solidFill>
            <a:ln>
              <a:noFill/>
            </a:ln>
            <a:effectLst/>
          </c:spPr>
          <c:invertIfNegative val="0"/>
          <c:cat>
            <c:strRef>
              <c:f>'Tab1 Backend'!$C$21:$C$29</c:f>
              <c:strCache>
                <c:ptCount val="9"/>
                <c:pt idx="0">
                  <c:v>Ariane 5 ECA
2002</c:v>
                </c:pt>
                <c:pt idx="1">
                  <c:v>Ariane 5G
1996</c:v>
                </c:pt>
                <c:pt idx="2">
                  <c:v>Atlas V 551
2006</c:v>
                </c:pt>
                <c:pt idx="3">
                  <c:v>Falcon 9
2010</c:v>
                </c:pt>
                <c:pt idx="4">
                  <c:v>Falcon 9 FT
2018</c:v>
                </c:pt>
                <c:pt idx="5">
                  <c:v>H-IIA
2001</c:v>
                </c:pt>
                <c:pt idx="6">
                  <c:v>Long March 2F
1999</c:v>
                </c:pt>
                <c:pt idx="7">
                  <c:v>SLS
2021</c:v>
                </c:pt>
                <c:pt idx="8">
                  <c:v>Soyuz-2
2004</c:v>
                </c:pt>
              </c:strCache>
            </c:strRef>
          </c:cat>
          <c:val>
            <c:numRef>
              <c:f>'Tab1 Backend'!$M$21:$M$29</c:f>
              <c:numCache>
                <c:formatCode>General</c:formatCode>
                <c:ptCount val="9"/>
                <c:pt idx="0">
                  <c:v>668000</c:v>
                </c:pt>
                <c:pt idx="1">
                  <c:v>640000</c:v>
                </c:pt>
                <c:pt idx="2">
                  <c:v>520000</c:v>
                </c:pt>
                <c:pt idx="3">
                  <c:v>390000</c:v>
                </c:pt>
                <c:pt idx="4">
                  <c:v>518400</c:v>
                </c:pt>
                <c:pt idx="5">
                  <c:v>285000</c:v>
                </c:pt>
                <c:pt idx="6">
                  <c:v>424000</c:v>
                </c:pt>
                <c:pt idx="7">
                  <c:v>2293000</c:v>
                </c:pt>
                <c:pt idx="8">
                  <c:v>277000</c:v>
                </c:pt>
              </c:numCache>
            </c:numRef>
          </c:val>
          <c:extLst>
            <c:ext xmlns:c16="http://schemas.microsoft.com/office/drawing/2014/chart" uri="{C3380CC4-5D6E-409C-BE32-E72D297353CC}">
              <c16:uniqueId val="{00000000-284F-43D2-BA4C-F8EC4B1257F3}"/>
            </c:ext>
          </c:extLst>
        </c:ser>
        <c:ser>
          <c:idx val="1"/>
          <c:order val="1"/>
          <c:tx>
            <c:strRef>
              <c:f>Translations!$K$433</c:f>
              <c:strCache>
                <c:ptCount val="1"/>
                <c:pt idx="0">
                  <c:v>Structure mass (kg)</c:v>
                </c:pt>
              </c:strCache>
            </c:strRef>
          </c:tx>
          <c:spPr>
            <a:solidFill>
              <a:schemeClr val="accent3"/>
            </a:solidFill>
            <a:ln>
              <a:noFill/>
            </a:ln>
            <a:effectLst/>
          </c:spPr>
          <c:invertIfNegative val="0"/>
          <c:cat>
            <c:strRef>
              <c:f>'Tab1 Backend'!$C$21:$C$29</c:f>
              <c:strCache>
                <c:ptCount val="9"/>
                <c:pt idx="0">
                  <c:v>Ariane 5 ECA
2002</c:v>
                </c:pt>
                <c:pt idx="1">
                  <c:v>Ariane 5G
1996</c:v>
                </c:pt>
                <c:pt idx="2">
                  <c:v>Atlas V 551
2006</c:v>
                </c:pt>
                <c:pt idx="3">
                  <c:v>Falcon 9
2010</c:v>
                </c:pt>
                <c:pt idx="4">
                  <c:v>Falcon 9 FT
2018</c:v>
                </c:pt>
                <c:pt idx="5">
                  <c:v>H-IIA
2001</c:v>
                </c:pt>
                <c:pt idx="6">
                  <c:v>Long March 2F
1999</c:v>
                </c:pt>
                <c:pt idx="7">
                  <c:v>SLS
2021</c:v>
                </c:pt>
                <c:pt idx="8">
                  <c:v>Soyuz-2
2004</c:v>
                </c:pt>
              </c:strCache>
            </c:strRef>
          </c:cat>
          <c:val>
            <c:numRef>
              <c:f>'Tab1 Backend'!$L$21:$L$29</c:f>
              <c:numCache>
                <c:formatCode>General</c:formatCode>
                <c:ptCount val="9"/>
                <c:pt idx="0">
                  <c:v>91200</c:v>
                </c:pt>
                <c:pt idx="1">
                  <c:v>95000</c:v>
                </c:pt>
                <c:pt idx="2">
                  <c:v>44000</c:v>
                </c:pt>
                <c:pt idx="3">
                  <c:v>25000</c:v>
                </c:pt>
                <c:pt idx="4">
                  <c:v>30650</c:v>
                </c:pt>
                <c:pt idx="5">
                  <c:v>37000</c:v>
                </c:pt>
                <c:pt idx="6">
                  <c:v>40000</c:v>
                </c:pt>
                <c:pt idx="7">
                  <c:v>169000</c:v>
                </c:pt>
                <c:pt idx="8">
                  <c:v>25000</c:v>
                </c:pt>
              </c:numCache>
            </c:numRef>
          </c:val>
          <c:extLst>
            <c:ext xmlns:c16="http://schemas.microsoft.com/office/drawing/2014/chart" uri="{C3380CC4-5D6E-409C-BE32-E72D297353CC}">
              <c16:uniqueId val="{00000001-284F-43D2-BA4C-F8EC4B1257F3}"/>
            </c:ext>
          </c:extLst>
        </c:ser>
        <c:ser>
          <c:idx val="0"/>
          <c:order val="2"/>
          <c:tx>
            <c:strRef>
              <c:f>Translations!$K$422</c:f>
              <c:strCache>
                <c:ptCount val="1"/>
                <c:pt idx="0">
                  <c:v>Payload mass (kg)</c:v>
                </c:pt>
              </c:strCache>
            </c:strRef>
          </c:tx>
          <c:spPr>
            <a:solidFill>
              <a:schemeClr val="accent4"/>
            </a:solidFill>
            <a:ln>
              <a:noFill/>
            </a:ln>
            <a:effectLst/>
          </c:spPr>
          <c:invertIfNegative val="0"/>
          <c:cat>
            <c:strRef>
              <c:f>'Tab1 Backend'!$C$21:$C$29</c:f>
              <c:strCache>
                <c:ptCount val="9"/>
                <c:pt idx="0">
                  <c:v>Ariane 5 ECA
2002</c:v>
                </c:pt>
                <c:pt idx="1">
                  <c:v>Ariane 5G
1996</c:v>
                </c:pt>
                <c:pt idx="2">
                  <c:v>Atlas V 551
2006</c:v>
                </c:pt>
                <c:pt idx="3">
                  <c:v>Falcon 9
2010</c:v>
                </c:pt>
                <c:pt idx="4">
                  <c:v>Falcon 9 FT
2018</c:v>
                </c:pt>
                <c:pt idx="5">
                  <c:v>H-IIA
2001</c:v>
                </c:pt>
                <c:pt idx="6">
                  <c:v>Long March 2F
1999</c:v>
                </c:pt>
                <c:pt idx="7">
                  <c:v>SLS
2021</c:v>
                </c:pt>
                <c:pt idx="8">
                  <c:v>Soyuz-2
2004</c:v>
                </c:pt>
              </c:strCache>
            </c:strRef>
          </c:cat>
          <c:val>
            <c:numRef>
              <c:f>'Tab1 Backend'!$K$21:$K$29</c:f>
              <c:numCache>
                <c:formatCode>General</c:formatCode>
                <c:ptCount val="9"/>
                <c:pt idx="0">
                  <c:v>21000</c:v>
                </c:pt>
                <c:pt idx="1">
                  <c:v>16000</c:v>
                </c:pt>
                <c:pt idx="2">
                  <c:v>19000</c:v>
                </c:pt>
                <c:pt idx="3">
                  <c:v>10500</c:v>
                </c:pt>
                <c:pt idx="4">
                  <c:v>15600</c:v>
                </c:pt>
                <c:pt idx="5">
                  <c:v>10000</c:v>
                </c:pt>
                <c:pt idx="6">
                  <c:v>8600</c:v>
                </c:pt>
                <c:pt idx="7">
                  <c:v>95000</c:v>
                </c:pt>
                <c:pt idx="8">
                  <c:v>7020</c:v>
                </c:pt>
              </c:numCache>
            </c:numRef>
          </c:val>
          <c:extLst>
            <c:ext xmlns:c16="http://schemas.microsoft.com/office/drawing/2014/chart" uri="{C3380CC4-5D6E-409C-BE32-E72D297353CC}">
              <c16:uniqueId val="{00000002-284F-43D2-BA4C-F8EC4B1257F3}"/>
            </c:ext>
          </c:extLst>
        </c:ser>
        <c:dLbls>
          <c:showLegendKey val="0"/>
          <c:showVal val="0"/>
          <c:showCatName val="0"/>
          <c:showSerName val="0"/>
          <c:showPercent val="0"/>
          <c:showBubbleSize val="0"/>
        </c:dLbls>
        <c:gapWidth val="190"/>
        <c:overlap val="100"/>
        <c:axId val="593110368"/>
        <c:axId val="695690000"/>
      </c:barChart>
      <c:catAx>
        <c:axId val="593110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5690000"/>
        <c:crosses val="autoZero"/>
        <c:auto val="1"/>
        <c:lblAlgn val="ctr"/>
        <c:lblOffset val="0"/>
        <c:noMultiLvlLbl val="0"/>
      </c:catAx>
      <c:valAx>
        <c:axId val="695690000"/>
        <c:scaling>
          <c:orientation val="minMax"/>
          <c:max val="1"/>
          <c:min val="0"/>
        </c:scaling>
        <c:delete val="0"/>
        <c:axPos val="l"/>
        <c:majorGridlines>
          <c:spPr>
            <a:ln w="9525" cap="flat" cmpd="sng" algn="ctr">
              <a:solidFill>
                <a:schemeClr val="tx1"/>
              </a:solidFill>
              <a:round/>
            </a:ln>
            <a:effectLst/>
          </c:spPr>
        </c:majorGridlines>
        <c:minorGridlines>
          <c:spPr>
            <a:ln w="9525" cap="flat" cmpd="sng" algn="ctr">
              <a:solidFill>
                <a:schemeClr val="tx2">
                  <a:lumMod val="60000"/>
                  <a:lumOff val="40000"/>
                </a:schemeClr>
              </a:solidFill>
              <a:prstDash val="sysDash"/>
              <a:round/>
            </a:ln>
            <a:effectLst/>
          </c:spPr>
        </c:minorGridlines>
        <c:title>
          <c:tx>
            <c:rich>
              <a:bodyPr rot="-5400000" spcFirstLastPara="1" vertOverflow="ellipsis" vert="horz" wrap="square" anchor="ctr" anchorCtr="1"/>
              <a:lstStyle/>
              <a:p>
                <a:pPr>
                  <a:defRPr sz="1100" b="0" i="0" u="none" strike="noStrike" kern="1200" baseline="0">
                    <a:solidFill>
                      <a:schemeClr val="tx1"/>
                    </a:solidFill>
                    <a:latin typeface="+mj-lt"/>
                    <a:ea typeface="+mn-ea"/>
                    <a:cs typeface="+mn-cs"/>
                  </a:defRPr>
                </a:pPr>
                <a:r>
                  <a:rPr lang="en-US" sz="1100"/>
                  <a:t>Mass proportion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593110368"/>
        <c:crosses val="autoZero"/>
        <c:crossBetween val="between"/>
        <c:minorUnit val="0.1"/>
      </c:valAx>
      <c:spPr>
        <a:noFill/>
        <a:ln>
          <a:noFill/>
        </a:ln>
        <a:effectLst/>
      </c:spPr>
    </c:plotArea>
    <c:legend>
      <c:legendPos val="t"/>
      <c:layout>
        <c:manualLayout>
          <c:xMode val="edge"/>
          <c:yMode val="edge"/>
          <c:x val="0.26327526276872898"/>
          <c:y val="8.8277011155300775E-2"/>
          <c:w val="0.5097249120455688"/>
          <c:h val="6.35655693707623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col"/>
        <c:grouping val="percentStacked"/>
        <c:varyColors val="0"/>
        <c:ser>
          <c:idx val="0"/>
          <c:order val="0"/>
          <c:spPr>
            <a:solidFill>
              <a:schemeClr val="bg1"/>
            </a:solidFill>
            <a:ln>
              <a:noFill/>
            </a:ln>
            <a:effectLst/>
          </c:spPr>
          <c:invertIfNegative val="0"/>
          <c:val>
            <c:numRef>
              <c:f>'Tab1 Backend'!$U$14</c:f>
              <c:numCache>
                <c:formatCode>General</c:formatCode>
                <c:ptCount val="1"/>
                <c:pt idx="0">
                  <c:v>0</c:v>
                </c:pt>
              </c:numCache>
            </c:numRef>
          </c:val>
          <c:extLst>
            <c:ext xmlns:c16="http://schemas.microsoft.com/office/drawing/2014/chart" uri="{C3380CC4-5D6E-409C-BE32-E72D297353CC}">
              <c16:uniqueId val="{00000000-34DC-48C4-A46B-4DC4F5E6AD39}"/>
            </c:ext>
          </c:extLst>
        </c:ser>
        <c:ser>
          <c:idx val="1"/>
          <c:order val="1"/>
          <c:spPr>
            <a:solidFill>
              <a:schemeClr val="bg1">
                <a:alpha val="0"/>
              </a:schemeClr>
            </a:solidFill>
            <a:ln>
              <a:noFill/>
            </a:ln>
            <a:effectLst/>
          </c:spPr>
          <c:invertIfNegative val="0"/>
          <c:val>
            <c:numRef>
              <c:f>'Tab1 Backend'!$U$15</c:f>
              <c:numCache>
                <c:formatCode>General</c:formatCode>
                <c:ptCount val="1"/>
                <c:pt idx="0">
                  <c:v>1</c:v>
                </c:pt>
              </c:numCache>
            </c:numRef>
          </c:val>
          <c:extLst>
            <c:ext xmlns:c16="http://schemas.microsoft.com/office/drawing/2014/chart" uri="{C3380CC4-5D6E-409C-BE32-E72D297353CC}">
              <c16:uniqueId val="{00000001-34DC-48C4-A46B-4DC4F5E6AD39}"/>
            </c:ext>
          </c:extLst>
        </c:ser>
        <c:dLbls>
          <c:showLegendKey val="0"/>
          <c:showVal val="0"/>
          <c:showCatName val="0"/>
          <c:showSerName val="0"/>
          <c:showPercent val="0"/>
          <c:showBubbleSize val="0"/>
        </c:dLbls>
        <c:gapWidth val="0"/>
        <c:overlap val="100"/>
        <c:axId val="205982288"/>
        <c:axId val="2037422640"/>
      </c:barChart>
      <c:catAx>
        <c:axId val="205982288"/>
        <c:scaling>
          <c:orientation val="minMax"/>
        </c:scaling>
        <c:delete val="1"/>
        <c:axPos val="b"/>
        <c:majorTickMark val="none"/>
        <c:minorTickMark val="none"/>
        <c:tickLblPos val="nextTo"/>
        <c:crossAx val="2037422640"/>
        <c:crosses val="autoZero"/>
        <c:auto val="1"/>
        <c:lblAlgn val="ctr"/>
        <c:lblOffset val="100"/>
        <c:noMultiLvlLbl val="0"/>
      </c:catAx>
      <c:valAx>
        <c:axId val="2037422640"/>
        <c:scaling>
          <c:orientation val="minMax"/>
        </c:scaling>
        <c:delete val="1"/>
        <c:axPos val="l"/>
        <c:numFmt formatCode="0%" sourceLinked="1"/>
        <c:majorTickMark val="none"/>
        <c:minorTickMark val="none"/>
        <c:tickLblPos val="nextTo"/>
        <c:crossAx val="20598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Badge!$K$13</c:f>
              <c:strCache>
                <c:ptCount val="1"/>
                <c:pt idx="0">
                  <c:v>CONGRATULATIONS!</c:v>
                </c:pt>
              </c:strCache>
            </c:strRef>
          </c:tx>
          <c:spPr>
            <a:blipFill>
              <a:blip xmlns:r="http://schemas.openxmlformats.org/officeDocument/2006/relationships" r:embed="rId3"/>
              <a:stretch>
                <a:fillRect/>
              </a:stretch>
            </a:blipFill>
            <a:ln>
              <a:noFill/>
            </a:ln>
            <a:effectLst/>
          </c:spPr>
          <c:invertIfNegative val="0"/>
          <c:val>
            <c:numRef>
              <c:f>Badge!$L$13</c:f>
              <c:numCache>
                <c:formatCode>General</c:formatCode>
                <c:ptCount val="1"/>
                <c:pt idx="0">
                  <c:v>0</c:v>
                </c:pt>
              </c:numCache>
            </c:numRef>
          </c:val>
          <c:extLst>
            <c:ext xmlns:c16="http://schemas.microsoft.com/office/drawing/2014/chart" uri="{C3380CC4-5D6E-409C-BE32-E72D297353CC}">
              <c16:uniqueId val="{00000000-935E-4EB9-9543-5B2DF650AB26}"/>
            </c:ext>
          </c:extLst>
        </c:ser>
        <c:ser>
          <c:idx val="1"/>
          <c:order val="1"/>
          <c:tx>
            <c:strRef>
              <c:f>Badge!$K$14</c:f>
              <c:strCache>
                <c:ptCount val="1"/>
                <c:pt idx="0">
                  <c:v>Keep answering questions!</c:v>
                </c:pt>
              </c:strCache>
            </c:strRef>
          </c:tx>
          <c:spPr>
            <a:solidFill>
              <a:schemeClr val="accent2"/>
            </a:solid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935E-4EB9-9543-5B2DF650AB26}"/>
              </c:ext>
            </c:extLst>
          </c:dPt>
          <c:val>
            <c:numRef>
              <c:f>Badge!$L$14</c:f>
              <c:numCache>
                <c:formatCode>General</c:formatCode>
                <c:ptCount val="1"/>
                <c:pt idx="0">
                  <c:v>1</c:v>
                </c:pt>
              </c:numCache>
            </c:numRef>
          </c:val>
          <c:extLst>
            <c:ext xmlns:c16="http://schemas.microsoft.com/office/drawing/2014/chart" uri="{C3380CC4-5D6E-409C-BE32-E72D297353CC}">
              <c16:uniqueId val="{00000003-935E-4EB9-9543-5B2DF650AB26}"/>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0856089797287"/>
          <c:y val="0.15525146110197788"/>
          <c:w val="0.84732406321550235"/>
          <c:h val="0.64824714159118224"/>
        </c:manualLayout>
      </c:layout>
      <c:scatterChart>
        <c:scatterStyle val="lineMarker"/>
        <c:varyColors val="0"/>
        <c:ser>
          <c:idx val="0"/>
          <c:order val="0"/>
          <c:tx>
            <c:strRef>
              <c:f>'4.Visualizing with POSITION'!$I$22</c:f>
              <c:strCache>
                <c:ptCount val="1"/>
                <c:pt idx="0">
                  <c:v>Cost per kg ($/kg)</c:v>
                </c:pt>
              </c:strCache>
            </c:strRef>
          </c:tx>
          <c:spPr>
            <a:ln w="25400" cap="rnd">
              <a:noFill/>
              <a:round/>
            </a:ln>
            <a:effectLst/>
          </c:spPr>
          <c:marker>
            <c:symbol val="circle"/>
            <c:size val="5"/>
            <c:spPr>
              <a:solidFill>
                <a:schemeClr val="accent1">
                  <a:alpha val="0"/>
                </a:schemeClr>
              </a:solidFill>
              <a:ln w="9525">
                <a:noFill/>
              </a:ln>
              <a:effectLst/>
            </c:spPr>
          </c:marker>
          <c:trendline>
            <c:spPr>
              <a:ln w="44450" cap="rnd">
                <a:solidFill>
                  <a:schemeClr val="tx1"/>
                </a:solidFill>
                <a:prstDash val="sysDot"/>
                <a:headEnd type="none"/>
                <a:tailEnd type="triangle"/>
              </a:ln>
              <a:effectLst/>
            </c:spPr>
            <c:trendlineType val="linear"/>
            <c:backward val="5"/>
            <c:dispRSqr val="0"/>
            <c:dispEq val="0"/>
          </c:trendline>
          <c:xVal>
            <c:numRef>
              <c:f>('4.Visualizing with POSITION'!$F$23:$F$31,'4.Visualizing with POSITION'!$F$34)</c:f>
              <c:numCache>
                <c:formatCode>General</c:formatCode>
                <c:ptCount val="10"/>
                <c:pt idx="0">
                  <c:v>2004</c:v>
                </c:pt>
                <c:pt idx="1">
                  <c:v>1996</c:v>
                </c:pt>
                <c:pt idx="2">
                  <c:v>1999</c:v>
                </c:pt>
                <c:pt idx="3">
                  <c:v>2001</c:v>
                </c:pt>
                <c:pt idx="4">
                  <c:v>2002</c:v>
                </c:pt>
                <c:pt idx="5">
                  <c:v>2006</c:v>
                </c:pt>
                <c:pt idx="6">
                  <c:v>2010</c:v>
                </c:pt>
                <c:pt idx="7">
                  <c:v>2018</c:v>
                </c:pt>
                <c:pt idx="8">
                  <c:v>2022</c:v>
                </c:pt>
                <c:pt idx="9">
                  <c:v>#N/A</c:v>
                </c:pt>
              </c:numCache>
            </c:numRef>
          </c:xVal>
          <c:yVal>
            <c:numRef>
              <c:f>('4.Visualizing with POSITION'!$I$23:$I$31,'4.Visualizing with POSITION'!$I$34)</c:f>
              <c:numCache>
                <c:formatCode>#,##0</c:formatCode>
                <c:ptCount val="10"/>
                <c:pt idx="0">
                  <c:v>11396.011396011396</c:v>
                </c:pt>
                <c:pt idx="1">
                  <c:v>11250</c:v>
                </c:pt>
                <c:pt idx="2">
                  <c:v>9534.8837209302328</c:v>
                </c:pt>
                <c:pt idx="3">
                  <c:v>12300</c:v>
                </c:pt>
                <c:pt idx="4">
                  <c:v>10476.190476190477</c:v>
                </c:pt>
                <c:pt idx="5">
                  <c:v>5789.4736842105267</c:v>
                </c:pt>
                <c:pt idx="6">
                  <c:v>5904.7619047619046</c:v>
                </c:pt>
                <c:pt idx="7">
                  <c:v>4166.666666666667</c:v>
                </c:pt>
                <c:pt idx="8">
                  <c:v>5263.1578947368425</c:v>
                </c:pt>
                <c:pt idx="9" formatCode="General">
                  <c:v>#N/A</c:v>
                </c:pt>
              </c:numCache>
            </c:numRef>
          </c:yVal>
          <c:smooth val="0"/>
          <c:extLst>
            <c:ext xmlns:c16="http://schemas.microsoft.com/office/drawing/2014/chart" uri="{C3380CC4-5D6E-409C-BE32-E72D297353CC}">
              <c16:uniqueId val="{00000001-783C-4175-9347-D58798A013AE}"/>
            </c:ext>
          </c:extLst>
        </c:ser>
        <c:dLbls>
          <c:showLegendKey val="0"/>
          <c:showVal val="0"/>
          <c:showCatName val="0"/>
          <c:showSerName val="0"/>
          <c:showPercent val="0"/>
          <c:showBubbleSize val="0"/>
        </c:dLbls>
        <c:axId val="593110368"/>
        <c:axId val="695690000"/>
      </c:scatterChart>
      <c:valAx>
        <c:axId val="593110368"/>
        <c:scaling>
          <c:orientation val="minMax"/>
          <c:max val="2030"/>
          <c:min val="1990"/>
        </c:scaling>
        <c:delete val="0"/>
        <c:axPos val="b"/>
        <c:title>
          <c:tx>
            <c:strRef>
              <c:f>'4.Visualizing with POSITION'!$E$22</c:f>
              <c:strCache>
                <c:ptCount val="1"/>
                <c:pt idx="0">
                  <c:v>Rocket name</c:v>
                </c:pt>
              </c:strCache>
            </c:strRef>
          </c:tx>
          <c:overlay val="0"/>
          <c:spPr>
            <a:noFill/>
            <a:ln>
              <a:noFill/>
            </a:ln>
            <a:effectLst/>
          </c:spPr>
          <c:txPr>
            <a:bodyPr rot="0" spcFirstLastPara="1" vertOverflow="ellipsis" vert="horz" wrap="square" anchor="ctr" anchorCtr="1"/>
            <a:lstStyle/>
            <a:p>
              <a:pPr>
                <a:defRPr sz="1300" b="0" i="0" u="none" strike="noStrike" kern="1200" baseline="0">
                  <a:solidFill>
                    <a:schemeClr val="bg1"/>
                  </a:solidFill>
                  <a:latin typeface="+mn-lt"/>
                  <a:ea typeface="+mn-ea"/>
                  <a:cs typeface="+mn-cs"/>
                </a:defRPr>
              </a:pPr>
              <a:endParaRPr lang="en-US"/>
            </a:p>
          </c:txPr>
        </c:title>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crossAx val="695690000"/>
        <c:crosses val="autoZero"/>
        <c:crossBetween val="midCat"/>
        <c:majorUnit val="5"/>
      </c:valAx>
      <c:valAx>
        <c:axId val="695690000"/>
        <c:scaling>
          <c:orientation val="minMax"/>
          <c:max val="18000"/>
          <c:min val="0"/>
        </c:scaling>
        <c:delete val="0"/>
        <c:axPos val="l"/>
        <c:title>
          <c:tx>
            <c:strRef>
              <c:f>'4.Visualizing with POSITION'!$I$22</c:f>
              <c:strCache>
                <c:ptCount val="1"/>
                <c:pt idx="0">
                  <c:v>Cost per kg ($/kg)</c:v>
                </c:pt>
              </c:strCache>
            </c:strRef>
          </c:tx>
          <c:overlay val="0"/>
          <c:spPr>
            <a:noFill/>
            <a:ln>
              <a:noFill/>
            </a:ln>
            <a:effectLst/>
          </c:spPr>
          <c:txPr>
            <a:bodyPr rot="-5400000" spcFirstLastPara="1" vertOverflow="ellipsis" vert="horz" wrap="square" anchor="ctr" anchorCtr="1"/>
            <a:lstStyle/>
            <a:p>
              <a:pPr>
                <a:defRPr sz="13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one"/>
        <c:spPr>
          <a:solidFill>
            <a:sysClr val="window" lastClr="FFFFFF"/>
          </a:solidFill>
          <a:ln>
            <a:noFill/>
          </a:ln>
          <a:effectLst/>
        </c:spPr>
        <c:txPr>
          <a:bodyPr rot="-60000000" spcFirstLastPara="1" vertOverflow="ellipsis" vert="horz" wrap="square" anchor="ctr" anchorCtr="1"/>
          <a:lstStyle/>
          <a:p>
            <a:pPr>
              <a:defRPr sz="1300" b="0" i="0" u="none" strike="noStrike" kern="1200" baseline="0">
                <a:solidFill>
                  <a:srgbClr val="FF0000"/>
                </a:solidFill>
                <a:latin typeface="+mn-lt"/>
                <a:ea typeface="+mn-ea"/>
                <a:cs typeface="+mn-cs"/>
              </a:defRPr>
            </a:pPr>
            <a:endParaRPr lang="en-US"/>
          </a:p>
        </c:txPr>
        <c:crossAx val="593110368"/>
        <c:crosses val="autoZero"/>
        <c:crossBetween val="midCat"/>
        <c:majorUnit val="2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solidFill>
            <a:schemeClr val="bg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percentStacked"/>
        <c:varyColors val="0"/>
        <c:ser>
          <c:idx val="0"/>
          <c:order val="0"/>
          <c:spPr>
            <a:solidFill>
              <a:schemeClr val="bg1"/>
            </a:solidFill>
            <a:ln>
              <a:noFill/>
            </a:ln>
            <a:effectLst/>
          </c:spPr>
          <c:invertIfNegative val="0"/>
          <c:val>
            <c:numRef>
              <c:f>'Tab1 Backend'!$W$14</c:f>
              <c:numCache>
                <c:formatCode>General</c:formatCode>
                <c:ptCount val="1"/>
                <c:pt idx="0">
                  <c:v>1</c:v>
                </c:pt>
              </c:numCache>
            </c:numRef>
          </c:val>
          <c:extLst>
            <c:ext xmlns:c16="http://schemas.microsoft.com/office/drawing/2014/chart" uri="{C3380CC4-5D6E-409C-BE32-E72D297353CC}">
              <c16:uniqueId val="{00000000-9D29-4198-97A9-163FBD6C5154}"/>
            </c:ext>
          </c:extLst>
        </c:ser>
        <c:ser>
          <c:idx val="1"/>
          <c:order val="1"/>
          <c:spPr>
            <a:noFill/>
            <a:ln>
              <a:noFill/>
            </a:ln>
            <a:effectLst/>
          </c:spPr>
          <c:invertIfNegative val="0"/>
          <c:val>
            <c:numRef>
              <c:f>'Tab1 Backend'!$W$15</c:f>
              <c:numCache>
                <c:formatCode>General</c:formatCode>
                <c:ptCount val="1"/>
                <c:pt idx="0">
                  <c:v>#N/A</c:v>
                </c:pt>
              </c:numCache>
            </c:numRef>
          </c:val>
          <c:extLst>
            <c:ext xmlns:c16="http://schemas.microsoft.com/office/drawing/2014/chart" uri="{C3380CC4-5D6E-409C-BE32-E72D297353CC}">
              <c16:uniqueId val="{00000001-9D29-4198-97A9-163FBD6C5154}"/>
            </c:ext>
          </c:extLst>
        </c:ser>
        <c:dLbls>
          <c:showLegendKey val="0"/>
          <c:showVal val="0"/>
          <c:showCatName val="0"/>
          <c:showSerName val="0"/>
          <c:showPercent val="0"/>
          <c:showBubbleSize val="0"/>
        </c:dLbls>
        <c:gapWidth val="0"/>
        <c:overlap val="100"/>
        <c:axId val="2133037584"/>
        <c:axId val="630187664"/>
      </c:barChart>
      <c:catAx>
        <c:axId val="2133037584"/>
        <c:scaling>
          <c:orientation val="minMax"/>
        </c:scaling>
        <c:delete val="0"/>
        <c:axPos val="l"/>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187664"/>
        <c:crosses val="autoZero"/>
        <c:auto val="1"/>
        <c:lblAlgn val="ctr"/>
        <c:lblOffset val="100"/>
        <c:noMultiLvlLbl val="0"/>
      </c:catAx>
      <c:valAx>
        <c:axId val="630187664"/>
        <c:scaling>
          <c:orientation val="minMax"/>
        </c:scaling>
        <c:delete val="1"/>
        <c:axPos val="b"/>
        <c:numFmt formatCode="0%" sourceLinked="1"/>
        <c:majorTickMark val="out"/>
        <c:minorTickMark val="none"/>
        <c:tickLblPos val="nextTo"/>
        <c:crossAx val="213303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0856089797287"/>
          <c:y val="0.15467504484026659"/>
          <c:w val="0.84732406321550235"/>
          <c:h val="0.65217176132257815"/>
        </c:manualLayout>
      </c:layout>
      <c:scatterChart>
        <c:scatterStyle val="lineMarker"/>
        <c:varyColors val="0"/>
        <c:ser>
          <c:idx val="0"/>
          <c:order val="0"/>
          <c:tx>
            <c:strRef>
              <c:f>'4.Visualizing with POSITION'!$I$22</c:f>
              <c:strCache>
                <c:ptCount val="1"/>
                <c:pt idx="0">
                  <c:v>Cost per kg ($/kg)</c:v>
                </c:pt>
              </c:strCache>
            </c:strRef>
          </c:tx>
          <c:spPr>
            <a:ln w="25400" cap="rnd">
              <a:noFill/>
              <a:round/>
            </a:ln>
            <a:effectLst/>
          </c:spPr>
          <c:marker>
            <c:symbol val="circle"/>
            <c:size val="10"/>
            <c:spPr>
              <a:solidFill>
                <a:schemeClr val="accent1"/>
              </a:solidFill>
              <a:ln w="9525">
                <a:solidFill>
                  <a:schemeClr val="accent1"/>
                </a:solidFill>
              </a:ln>
              <a:effectLst/>
            </c:spPr>
          </c:marker>
          <c:xVal>
            <c:numRef>
              <c:f>'4.Visualizing with POSITION'!$F$23:$F$31</c:f>
              <c:numCache>
                <c:formatCode>General</c:formatCode>
                <c:ptCount val="9"/>
                <c:pt idx="0">
                  <c:v>2004</c:v>
                </c:pt>
                <c:pt idx="1">
                  <c:v>1996</c:v>
                </c:pt>
                <c:pt idx="2">
                  <c:v>1999</c:v>
                </c:pt>
                <c:pt idx="3">
                  <c:v>2001</c:v>
                </c:pt>
                <c:pt idx="4">
                  <c:v>2002</c:v>
                </c:pt>
                <c:pt idx="5">
                  <c:v>2006</c:v>
                </c:pt>
                <c:pt idx="6">
                  <c:v>2010</c:v>
                </c:pt>
                <c:pt idx="7">
                  <c:v>2018</c:v>
                </c:pt>
                <c:pt idx="8">
                  <c:v>2022</c:v>
                </c:pt>
              </c:numCache>
            </c:numRef>
          </c:xVal>
          <c:yVal>
            <c:numRef>
              <c:f>'4.Visualizing with POSITION'!$I$23:$I$31</c:f>
              <c:numCache>
                <c:formatCode>#,##0</c:formatCode>
                <c:ptCount val="9"/>
                <c:pt idx="0">
                  <c:v>11396.011396011396</c:v>
                </c:pt>
                <c:pt idx="1">
                  <c:v>11250</c:v>
                </c:pt>
                <c:pt idx="2">
                  <c:v>9534.8837209302328</c:v>
                </c:pt>
                <c:pt idx="3">
                  <c:v>12300</c:v>
                </c:pt>
                <c:pt idx="4">
                  <c:v>10476.190476190477</c:v>
                </c:pt>
                <c:pt idx="5">
                  <c:v>5789.4736842105267</c:v>
                </c:pt>
                <c:pt idx="6">
                  <c:v>5904.7619047619046</c:v>
                </c:pt>
                <c:pt idx="7">
                  <c:v>4166.666666666667</c:v>
                </c:pt>
                <c:pt idx="8">
                  <c:v>5263.1578947368425</c:v>
                </c:pt>
              </c:numCache>
            </c:numRef>
          </c:yVal>
          <c:smooth val="0"/>
          <c:extLst>
            <c:ext xmlns:c16="http://schemas.microsoft.com/office/drawing/2014/chart" uri="{C3380CC4-5D6E-409C-BE32-E72D297353CC}">
              <c16:uniqueId val="{00000000-7A6E-47D9-AB0B-1F3EB3E5A44F}"/>
            </c:ext>
          </c:extLst>
        </c:ser>
        <c:ser>
          <c:idx val="1"/>
          <c:order val="1"/>
          <c:tx>
            <c:v>Forecast</c:v>
          </c:tx>
          <c:spPr>
            <a:ln w="25400" cap="rnd">
              <a:noFill/>
              <a:round/>
            </a:ln>
            <a:effectLst/>
          </c:spPr>
          <c:marker>
            <c:symbol val="circle"/>
            <c:size val="5"/>
            <c:spPr>
              <a:solidFill>
                <a:schemeClr val="bg1"/>
              </a:solidFill>
              <a:ln w="9525">
                <a:noFill/>
              </a:ln>
              <a:effectLst/>
            </c:spPr>
          </c:marker>
          <c:xVal>
            <c:numRef>
              <c:f>'4.Visualizing with POSITION'!$F$34</c:f>
              <c:numCache>
                <c:formatCode>General</c:formatCode>
                <c:ptCount val="1"/>
                <c:pt idx="0">
                  <c:v>#N/A</c:v>
                </c:pt>
              </c:numCache>
            </c:numRef>
          </c:xVal>
          <c:yVal>
            <c:numRef>
              <c:f>'4.Visualizing with POSITION'!$I$35</c:f>
              <c:numCache>
                <c:formatCode>General</c:formatCode>
                <c:ptCount val="1"/>
                <c:pt idx="0">
                  <c:v>#N/A</c:v>
                </c:pt>
              </c:numCache>
            </c:numRef>
          </c:yVal>
          <c:smooth val="0"/>
          <c:extLst>
            <c:ext xmlns:c16="http://schemas.microsoft.com/office/drawing/2014/chart" uri="{C3380CC4-5D6E-409C-BE32-E72D297353CC}">
              <c16:uniqueId val="{00000001-7A6E-47D9-AB0B-1F3EB3E5A44F}"/>
            </c:ext>
          </c:extLst>
        </c:ser>
        <c:dLbls>
          <c:showLegendKey val="0"/>
          <c:showVal val="0"/>
          <c:showCatName val="0"/>
          <c:showSerName val="0"/>
          <c:showPercent val="0"/>
          <c:showBubbleSize val="0"/>
        </c:dLbls>
        <c:axId val="593110368"/>
        <c:axId val="695690000"/>
      </c:scatterChart>
      <c:valAx>
        <c:axId val="593110368"/>
        <c:scaling>
          <c:orientation val="minMax"/>
          <c:max val="2030"/>
          <c:min val="1990"/>
        </c:scaling>
        <c:delete val="0"/>
        <c:axPos val="b"/>
        <c:majorGridlines>
          <c:spPr>
            <a:ln w="9525" cap="flat" cmpd="sng" algn="ctr">
              <a:solidFill>
                <a:schemeClr val="tx1"/>
              </a:solidFill>
              <a:round/>
            </a:ln>
            <a:effectLst/>
          </c:spPr>
        </c:majorGridlines>
        <c:title>
          <c:tx>
            <c:strRef>
              <c:f>Tbl_P4F[[#Headers],[First launch]]</c:f>
              <c:strCache>
                <c:ptCount val="1"/>
                <c:pt idx="0">
                  <c:v>First launch</c:v>
                </c:pt>
              </c:strCache>
            </c:strRef>
          </c:tx>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j-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95690000"/>
        <c:crosses val="autoZero"/>
        <c:crossBetween val="midCat"/>
        <c:majorUnit val="5"/>
      </c:valAx>
      <c:valAx>
        <c:axId val="695690000"/>
        <c:scaling>
          <c:orientation val="minMax"/>
          <c:max val="18000"/>
          <c:min val="0"/>
        </c:scaling>
        <c:delete val="0"/>
        <c:axPos val="l"/>
        <c:majorGridlines>
          <c:spPr>
            <a:ln w="9525" cap="flat" cmpd="sng" algn="ctr">
              <a:solidFill>
                <a:schemeClr val="tx1"/>
              </a:solidFill>
              <a:round/>
            </a:ln>
            <a:effectLst/>
          </c:spPr>
        </c:majorGridlines>
        <c:minorGridlines>
          <c:spPr>
            <a:ln w="9525" cap="flat" cmpd="sng" algn="ctr">
              <a:solidFill>
                <a:schemeClr val="tx1"/>
              </a:solidFill>
              <a:prstDash val="sysDot"/>
              <a:round/>
            </a:ln>
            <a:effectLst/>
          </c:spPr>
        </c:minorGridlines>
        <c:title>
          <c:tx>
            <c:strRef>
              <c:f>'4.Visualizing with POSITION'!$I$22</c:f>
              <c:strCache>
                <c:ptCount val="1"/>
                <c:pt idx="0">
                  <c:v>Cost per kg ($/kg)</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593110368"/>
        <c:crosses val="autoZero"/>
        <c:crossBetween val="midCat"/>
        <c:majorUnit val="2000"/>
        <c:min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Badge!$K$13</c:f>
              <c:strCache>
                <c:ptCount val="1"/>
                <c:pt idx="0">
                  <c:v>CONGRATULATIONS!</c:v>
                </c:pt>
              </c:strCache>
            </c:strRef>
          </c:tx>
          <c:spPr>
            <a:blipFill>
              <a:blip xmlns:r="http://schemas.openxmlformats.org/officeDocument/2006/relationships" r:embed="rId3"/>
              <a:stretch>
                <a:fillRect/>
              </a:stretch>
            </a:blipFill>
            <a:ln>
              <a:noFill/>
            </a:ln>
            <a:effectLst/>
          </c:spPr>
          <c:invertIfNegative val="0"/>
          <c:val>
            <c:numRef>
              <c:f>Badge!$L$13</c:f>
              <c:numCache>
                <c:formatCode>General</c:formatCode>
                <c:ptCount val="1"/>
                <c:pt idx="0">
                  <c:v>0</c:v>
                </c:pt>
              </c:numCache>
            </c:numRef>
          </c:val>
          <c:extLst>
            <c:ext xmlns:c16="http://schemas.microsoft.com/office/drawing/2014/chart" uri="{C3380CC4-5D6E-409C-BE32-E72D297353CC}">
              <c16:uniqueId val="{00000000-58C2-4BCC-8202-709FEBEFE8CB}"/>
            </c:ext>
          </c:extLst>
        </c:ser>
        <c:ser>
          <c:idx val="1"/>
          <c:order val="1"/>
          <c:tx>
            <c:strRef>
              <c:f>Badge!$K$14</c:f>
              <c:strCache>
                <c:ptCount val="1"/>
                <c:pt idx="0">
                  <c:v>Keep answering questions!</c:v>
                </c:pt>
              </c:strCache>
            </c:strRef>
          </c:tx>
          <c:spPr>
            <a:solidFill>
              <a:schemeClr val="accent2"/>
            </a:solid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58C2-4BCC-8202-709FEBEFE8CB}"/>
              </c:ext>
            </c:extLst>
          </c:dPt>
          <c:val>
            <c:numRef>
              <c:f>Badge!$L$14</c:f>
              <c:numCache>
                <c:formatCode>General</c:formatCode>
                <c:ptCount val="1"/>
                <c:pt idx="0">
                  <c:v>1</c:v>
                </c:pt>
              </c:numCache>
            </c:numRef>
          </c:val>
          <c:extLst>
            <c:ext xmlns:c16="http://schemas.microsoft.com/office/drawing/2014/chart" uri="{C3380CC4-5D6E-409C-BE32-E72D297353CC}">
              <c16:uniqueId val="{00000003-58C2-4BCC-8202-709FEBEFE8CB}"/>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0.98501567512394284"/>
        </c:manualLayout>
      </c:layout>
      <c:barChart>
        <c:barDir val="col"/>
        <c:grouping val="percentStacked"/>
        <c:varyColors val="0"/>
        <c:ser>
          <c:idx val="0"/>
          <c:order val="0"/>
          <c:tx>
            <c:strRef>
              <c:f>'Backend P5'!$J$4</c:f>
              <c:strCache>
                <c:ptCount val="1"/>
                <c:pt idx="0">
                  <c:v>Area chart</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pictureOptions>
              <c:pictureFormat val="stack"/>
            </c:pictureOptions>
            <c:extLst>
              <c:ext xmlns:c16="http://schemas.microsoft.com/office/drawing/2014/chart" uri="{C3380CC4-5D6E-409C-BE32-E72D297353CC}">
                <c16:uniqueId val="{00000001-B02F-4544-8322-8B4C846CBFF7}"/>
              </c:ext>
            </c:extLst>
          </c:dPt>
          <c:cat>
            <c:numRef>
              <c:f>'Backend P5'!$N$4</c:f>
              <c:numCache>
                <c:formatCode>General</c:formatCode>
                <c:ptCount val="1"/>
                <c:pt idx="0">
                  <c:v>1</c:v>
                </c:pt>
              </c:numCache>
            </c:numRef>
          </c:cat>
          <c:val>
            <c:numRef>
              <c:f>'Backend P5'!$N$4</c:f>
              <c:numCache>
                <c:formatCode>General</c:formatCode>
                <c:ptCount val="1"/>
                <c:pt idx="0">
                  <c:v>1</c:v>
                </c:pt>
              </c:numCache>
            </c:numRef>
          </c:val>
          <c:extLst>
            <c:ext xmlns:c16="http://schemas.microsoft.com/office/drawing/2014/chart" uri="{C3380CC4-5D6E-409C-BE32-E72D297353CC}">
              <c16:uniqueId val="{00000002-B02F-4544-8322-8B4C846CBFF7}"/>
            </c:ext>
          </c:extLst>
        </c:ser>
        <c:ser>
          <c:idx val="1"/>
          <c:order val="1"/>
          <c:tx>
            <c:strRef>
              <c:f>'Backend P5'!$J$8</c:f>
              <c:strCache>
                <c:ptCount val="1"/>
                <c:pt idx="0">
                  <c:v>Crewed missions to space</c:v>
                </c:pt>
              </c:strCache>
            </c:strRef>
          </c:tx>
          <c:spPr>
            <a:blipFill>
              <a:blip xmlns:r="http://schemas.openxmlformats.org/officeDocument/2006/relationships" r:embed="rId3"/>
              <a:stretch>
                <a:fillRect/>
              </a:stretch>
            </a:blipFill>
            <a:ln>
              <a:noFill/>
            </a:ln>
            <a:effectLst/>
          </c:spPr>
          <c:invertIfNegative val="0"/>
          <c:cat>
            <c:numRef>
              <c:f>'Backend P5'!$N$4</c:f>
              <c:numCache>
                <c:formatCode>General</c:formatCode>
                <c:ptCount val="1"/>
                <c:pt idx="0">
                  <c:v>1</c:v>
                </c:pt>
              </c:numCache>
            </c:numRef>
          </c:cat>
          <c:val>
            <c:numRef>
              <c:f>'Backend P5'!$N$8</c:f>
              <c:numCache>
                <c:formatCode>General</c:formatCode>
                <c:ptCount val="1"/>
                <c:pt idx="0">
                  <c:v>#N/A</c:v>
                </c:pt>
              </c:numCache>
            </c:numRef>
          </c:val>
          <c:extLst>
            <c:ext xmlns:c16="http://schemas.microsoft.com/office/drawing/2014/chart" uri="{C3380CC4-5D6E-409C-BE32-E72D297353CC}">
              <c16:uniqueId val="{00000003-B02F-4544-8322-8B4C846CBFF7}"/>
            </c:ext>
          </c:extLst>
        </c:ser>
        <c:ser>
          <c:idx val="2"/>
          <c:order val="2"/>
          <c:tx>
            <c:strRef>
              <c:f>'Backend P5'!$J$9</c:f>
              <c:strCache>
                <c:ptCount val="1"/>
                <c:pt idx="0">
                  <c:v>People Sent to Space</c:v>
                </c:pt>
              </c:strCache>
            </c:strRef>
          </c:tx>
          <c:spPr>
            <a:blipFill>
              <a:blip xmlns:r="http://schemas.openxmlformats.org/officeDocument/2006/relationships" r:embed="rId4"/>
              <a:stretch>
                <a:fillRect/>
              </a:stretch>
            </a:blipFill>
            <a:ln>
              <a:noFill/>
            </a:ln>
            <a:effectLst/>
          </c:spPr>
          <c:invertIfNegative val="0"/>
          <c:cat>
            <c:numRef>
              <c:f>'Backend P5'!$N$4</c:f>
              <c:numCache>
                <c:formatCode>General</c:formatCode>
                <c:ptCount val="1"/>
                <c:pt idx="0">
                  <c:v>1</c:v>
                </c:pt>
              </c:numCache>
            </c:numRef>
          </c:cat>
          <c:val>
            <c:numRef>
              <c:f>'Backend P5'!$N$9</c:f>
              <c:numCache>
                <c:formatCode>General</c:formatCode>
                <c:ptCount val="1"/>
                <c:pt idx="0">
                  <c:v>#N/A</c:v>
                </c:pt>
              </c:numCache>
            </c:numRef>
          </c:val>
          <c:extLst>
            <c:ext xmlns:c16="http://schemas.microsoft.com/office/drawing/2014/chart" uri="{C3380CC4-5D6E-409C-BE32-E72D297353CC}">
              <c16:uniqueId val="{00000004-B02F-4544-8322-8B4C846CBFF7}"/>
            </c:ext>
          </c:extLst>
        </c:ser>
        <c:ser>
          <c:idx val="3"/>
          <c:order val="3"/>
          <c:tx>
            <c:strRef>
              <c:f>'Backend P5'!$J$10</c:f>
              <c:strCache>
                <c:ptCount val="1"/>
                <c:pt idx="0">
                  <c:v>Time in Space</c:v>
                </c:pt>
              </c:strCache>
            </c:strRef>
          </c:tx>
          <c:spPr>
            <a:blipFill>
              <a:blip xmlns:r="http://schemas.openxmlformats.org/officeDocument/2006/relationships" r:embed="rId5"/>
              <a:stretch>
                <a:fillRect/>
              </a:stretch>
            </a:blipFill>
            <a:ln>
              <a:noFill/>
            </a:ln>
            <a:effectLst/>
          </c:spPr>
          <c:invertIfNegative val="0"/>
          <c:val>
            <c:numRef>
              <c:f>'Backend P5'!$N$10</c:f>
              <c:numCache>
                <c:formatCode>General</c:formatCode>
                <c:ptCount val="1"/>
                <c:pt idx="0">
                  <c:v>#N/A</c:v>
                </c:pt>
              </c:numCache>
            </c:numRef>
          </c:val>
          <c:extLst>
            <c:ext xmlns:c16="http://schemas.microsoft.com/office/drawing/2014/chart" uri="{C3380CC4-5D6E-409C-BE32-E72D297353CC}">
              <c16:uniqueId val="{00000005-B02F-4544-8322-8B4C846CBFF7}"/>
            </c:ext>
          </c:extLst>
        </c:ser>
        <c:dLbls>
          <c:showLegendKey val="0"/>
          <c:showVal val="0"/>
          <c:showCatName val="0"/>
          <c:showSerName val="0"/>
          <c:showPercent val="0"/>
          <c:showBubbleSize val="0"/>
        </c:dLbls>
        <c:gapWidth val="0"/>
        <c:overlap val="100"/>
        <c:axId val="1741751072"/>
        <c:axId val="310702928"/>
      </c:barChart>
      <c:catAx>
        <c:axId val="1741751072"/>
        <c:scaling>
          <c:orientation val="minMax"/>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702928"/>
        <c:crosses val="autoZero"/>
        <c:auto val="1"/>
        <c:lblAlgn val="ctr"/>
        <c:lblOffset val="100"/>
        <c:noMultiLvlLbl val="0"/>
      </c:catAx>
      <c:valAx>
        <c:axId val="310702928"/>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1751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6668885538491"/>
          <c:y val="0.12826303481886575"/>
          <c:w val="0.76701767655304354"/>
          <c:h val="0.69716441619752956"/>
        </c:manualLayout>
      </c:layout>
      <c:areaChart>
        <c:grouping val="stacked"/>
        <c:varyColors val="0"/>
        <c:ser>
          <c:idx val="0"/>
          <c:order val="0"/>
          <c:tx>
            <c:strRef>
              <c:f>'5.Visualizing with COMPLEXITY'!$D$25</c:f>
              <c:strCache>
                <c:ptCount val="1"/>
                <c:pt idx="0">
                  <c:v>Earth Orbit</c:v>
                </c:pt>
              </c:strCache>
            </c:strRef>
          </c:tx>
          <c:spPr>
            <a:solidFill>
              <a:schemeClr val="accent5"/>
            </a:solidFill>
            <a:ln>
              <a:noFill/>
            </a:ln>
            <a:effectLst/>
          </c:spPr>
          <c:cat>
            <c:strRef>
              <c:f>'5.Visualizing with COMPLEXITY'!$E$24:$J$24</c:f>
              <c:strCache>
                <c:ptCount val="6"/>
                <c:pt idx="0">
                  <c:v>1960s</c:v>
                </c:pt>
                <c:pt idx="1">
                  <c:v>1970s</c:v>
                </c:pt>
                <c:pt idx="2">
                  <c:v>1980s</c:v>
                </c:pt>
                <c:pt idx="3">
                  <c:v>1990s</c:v>
                </c:pt>
                <c:pt idx="4">
                  <c:v>2000s</c:v>
                </c:pt>
                <c:pt idx="5">
                  <c:v>2010s</c:v>
                </c:pt>
              </c:strCache>
            </c:strRef>
          </c:cat>
          <c:val>
            <c:numRef>
              <c:f>'5.Visualizing with COMPLEXITY'!$E$25:$J$25</c:f>
              <c:numCache>
                <c:formatCode>#,##0</c:formatCode>
                <c:ptCount val="6"/>
                <c:pt idx="0">
                  <c:v>31</c:v>
                </c:pt>
                <c:pt idx="1">
                  <c:v>11</c:v>
                </c:pt>
                <c:pt idx="2">
                  <c:v>32</c:v>
                </c:pt>
                <c:pt idx="3">
                  <c:v>53</c:v>
                </c:pt>
                <c:pt idx="4">
                  <c:v>7</c:v>
                </c:pt>
                <c:pt idx="5">
                  <c:v>0</c:v>
                </c:pt>
              </c:numCache>
            </c:numRef>
          </c:val>
          <c:extLst>
            <c:ext xmlns:c16="http://schemas.microsoft.com/office/drawing/2014/chart" uri="{C3380CC4-5D6E-409C-BE32-E72D297353CC}">
              <c16:uniqueId val="{00000000-2470-4512-BA0D-A438C52404B2}"/>
            </c:ext>
          </c:extLst>
        </c:ser>
        <c:ser>
          <c:idx val="1"/>
          <c:order val="1"/>
          <c:tx>
            <c:strRef>
              <c:f>'5.Visualizing with COMPLEXITY'!$D$26</c:f>
              <c:strCache>
                <c:ptCount val="1"/>
                <c:pt idx="0">
                  <c:v>Lunar Mission</c:v>
                </c:pt>
              </c:strCache>
            </c:strRef>
          </c:tx>
          <c:spPr>
            <a:solidFill>
              <a:srgbClr val="E0E0E0"/>
            </a:solidFill>
            <a:ln>
              <a:noFill/>
            </a:ln>
            <a:effectLst/>
          </c:spPr>
          <c:cat>
            <c:strRef>
              <c:f>'5.Visualizing with COMPLEXITY'!$E$24:$J$24</c:f>
              <c:strCache>
                <c:ptCount val="6"/>
                <c:pt idx="0">
                  <c:v>1960s</c:v>
                </c:pt>
                <c:pt idx="1">
                  <c:v>1970s</c:v>
                </c:pt>
                <c:pt idx="2">
                  <c:v>1980s</c:v>
                </c:pt>
                <c:pt idx="3">
                  <c:v>1990s</c:v>
                </c:pt>
                <c:pt idx="4">
                  <c:v>2000s</c:v>
                </c:pt>
                <c:pt idx="5">
                  <c:v>2010s</c:v>
                </c:pt>
              </c:strCache>
            </c:strRef>
          </c:cat>
          <c:val>
            <c:numRef>
              <c:f>'5.Visualizing with COMPLEXITY'!$E$26:$J$26</c:f>
              <c:numCache>
                <c:formatCode>#,##0</c:formatCode>
                <c:ptCount val="6"/>
                <c:pt idx="0">
                  <c:v>4</c:v>
                </c:pt>
                <c:pt idx="1">
                  <c:v>5</c:v>
                </c:pt>
                <c:pt idx="2">
                  <c:v>0</c:v>
                </c:pt>
                <c:pt idx="3">
                  <c:v>0</c:v>
                </c:pt>
                <c:pt idx="4">
                  <c:v>0</c:v>
                </c:pt>
                <c:pt idx="5">
                  <c:v>0</c:v>
                </c:pt>
              </c:numCache>
            </c:numRef>
          </c:val>
          <c:extLst>
            <c:ext xmlns:c16="http://schemas.microsoft.com/office/drawing/2014/chart" uri="{C3380CC4-5D6E-409C-BE32-E72D297353CC}">
              <c16:uniqueId val="{00000001-2470-4512-BA0D-A438C52404B2}"/>
            </c:ext>
          </c:extLst>
        </c:ser>
        <c:ser>
          <c:idx val="2"/>
          <c:order val="2"/>
          <c:tx>
            <c:strRef>
              <c:f>'5.Visualizing with COMPLEXITY'!$D$27</c:f>
              <c:strCache>
                <c:ptCount val="1"/>
                <c:pt idx="0">
                  <c:v>Other Space Station</c:v>
                </c:pt>
              </c:strCache>
            </c:strRef>
          </c:tx>
          <c:spPr>
            <a:solidFill>
              <a:schemeClr val="accent3"/>
            </a:solidFill>
            <a:ln>
              <a:noFill/>
            </a:ln>
            <a:effectLst/>
          </c:spPr>
          <c:cat>
            <c:strRef>
              <c:f>'5.Visualizing with COMPLEXITY'!$E$24:$J$24</c:f>
              <c:strCache>
                <c:ptCount val="6"/>
                <c:pt idx="0">
                  <c:v>1960s</c:v>
                </c:pt>
                <c:pt idx="1">
                  <c:v>1970s</c:v>
                </c:pt>
                <c:pt idx="2">
                  <c:v>1980s</c:v>
                </c:pt>
                <c:pt idx="3">
                  <c:v>1990s</c:v>
                </c:pt>
                <c:pt idx="4">
                  <c:v>2000s</c:v>
                </c:pt>
                <c:pt idx="5">
                  <c:v>2010s</c:v>
                </c:pt>
              </c:strCache>
            </c:strRef>
          </c:cat>
          <c:val>
            <c:numRef>
              <c:f>'5.Visualizing with COMPLEXITY'!$E$27:$J$27</c:f>
              <c:numCache>
                <c:formatCode>#,##0</c:formatCode>
                <c:ptCount val="6"/>
                <c:pt idx="0">
                  <c:v>0</c:v>
                </c:pt>
                <c:pt idx="1">
                  <c:v>18</c:v>
                </c:pt>
                <c:pt idx="2">
                  <c:v>18</c:v>
                </c:pt>
                <c:pt idx="3">
                  <c:v>0</c:v>
                </c:pt>
                <c:pt idx="4">
                  <c:v>0</c:v>
                </c:pt>
                <c:pt idx="5">
                  <c:v>3</c:v>
                </c:pt>
              </c:numCache>
            </c:numRef>
          </c:val>
          <c:extLst>
            <c:ext xmlns:c16="http://schemas.microsoft.com/office/drawing/2014/chart" uri="{C3380CC4-5D6E-409C-BE32-E72D297353CC}">
              <c16:uniqueId val="{00000002-2470-4512-BA0D-A438C52404B2}"/>
            </c:ext>
          </c:extLst>
        </c:ser>
        <c:ser>
          <c:idx val="3"/>
          <c:order val="3"/>
          <c:tx>
            <c:strRef>
              <c:f>'5.Visualizing with COMPLEXITY'!$D$28</c:f>
              <c:strCache>
                <c:ptCount val="1"/>
                <c:pt idx="0">
                  <c:v>Mir Space Station</c:v>
                </c:pt>
              </c:strCache>
            </c:strRef>
          </c:tx>
          <c:spPr>
            <a:solidFill>
              <a:schemeClr val="accent1"/>
            </a:solidFill>
            <a:ln>
              <a:noFill/>
            </a:ln>
            <a:effectLst/>
          </c:spPr>
          <c:cat>
            <c:strRef>
              <c:f>'5.Visualizing with COMPLEXITY'!$E$24:$J$24</c:f>
              <c:strCache>
                <c:ptCount val="6"/>
                <c:pt idx="0">
                  <c:v>1960s</c:v>
                </c:pt>
                <c:pt idx="1">
                  <c:v>1970s</c:v>
                </c:pt>
                <c:pt idx="2">
                  <c:v>1980s</c:v>
                </c:pt>
                <c:pt idx="3">
                  <c:v>1990s</c:v>
                </c:pt>
                <c:pt idx="4">
                  <c:v>2000s</c:v>
                </c:pt>
                <c:pt idx="5">
                  <c:v>2010s</c:v>
                </c:pt>
              </c:strCache>
            </c:strRef>
          </c:cat>
          <c:val>
            <c:numRef>
              <c:f>'5.Visualizing with COMPLEXITY'!$E$28:$J$28</c:f>
              <c:numCache>
                <c:formatCode>#,##0</c:formatCode>
                <c:ptCount val="6"/>
                <c:pt idx="0">
                  <c:v>0</c:v>
                </c:pt>
                <c:pt idx="1">
                  <c:v>0</c:v>
                </c:pt>
                <c:pt idx="2">
                  <c:v>8</c:v>
                </c:pt>
                <c:pt idx="3">
                  <c:v>30</c:v>
                </c:pt>
                <c:pt idx="4">
                  <c:v>1</c:v>
                </c:pt>
                <c:pt idx="5">
                  <c:v>0</c:v>
                </c:pt>
              </c:numCache>
            </c:numRef>
          </c:val>
          <c:extLst>
            <c:ext xmlns:c16="http://schemas.microsoft.com/office/drawing/2014/chart" uri="{C3380CC4-5D6E-409C-BE32-E72D297353CC}">
              <c16:uniqueId val="{00000003-2470-4512-BA0D-A438C52404B2}"/>
            </c:ext>
          </c:extLst>
        </c:ser>
        <c:ser>
          <c:idx val="4"/>
          <c:order val="4"/>
          <c:tx>
            <c:strRef>
              <c:f>'5.Visualizing with COMPLEXITY'!$D$29</c:f>
              <c:strCache>
                <c:ptCount val="1"/>
                <c:pt idx="0">
                  <c:v>International Space Station</c:v>
                </c:pt>
              </c:strCache>
            </c:strRef>
          </c:tx>
          <c:spPr>
            <a:solidFill>
              <a:schemeClr val="accent4"/>
            </a:solidFill>
            <a:ln>
              <a:noFill/>
            </a:ln>
            <a:effectLst/>
          </c:spPr>
          <c:cat>
            <c:strRef>
              <c:f>'5.Visualizing with COMPLEXITY'!$E$24:$J$24</c:f>
              <c:strCache>
                <c:ptCount val="6"/>
                <c:pt idx="0">
                  <c:v>1960s</c:v>
                </c:pt>
                <c:pt idx="1">
                  <c:v>1970s</c:v>
                </c:pt>
                <c:pt idx="2">
                  <c:v>1980s</c:v>
                </c:pt>
                <c:pt idx="3">
                  <c:v>1990s</c:v>
                </c:pt>
                <c:pt idx="4">
                  <c:v>2000s</c:v>
                </c:pt>
                <c:pt idx="5">
                  <c:v>2010s</c:v>
                </c:pt>
              </c:strCache>
            </c:strRef>
          </c:cat>
          <c:val>
            <c:numRef>
              <c:f>'5.Visualizing with COMPLEXITY'!$E$29:$J$29</c:f>
              <c:numCache>
                <c:formatCode>#,##0</c:formatCode>
                <c:ptCount val="6"/>
                <c:pt idx="0">
                  <c:v>0</c:v>
                </c:pt>
                <c:pt idx="1">
                  <c:v>0</c:v>
                </c:pt>
                <c:pt idx="2">
                  <c:v>0</c:v>
                </c:pt>
                <c:pt idx="3">
                  <c:v>2</c:v>
                </c:pt>
                <c:pt idx="4">
                  <c:v>50</c:v>
                </c:pt>
                <c:pt idx="5">
                  <c:v>44</c:v>
                </c:pt>
              </c:numCache>
            </c:numRef>
          </c:val>
          <c:extLst>
            <c:ext xmlns:c16="http://schemas.microsoft.com/office/drawing/2014/chart" uri="{C3380CC4-5D6E-409C-BE32-E72D297353CC}">
              <c16:uniqueId val="{00000004-2470-4512-BA0D-A438C52404B2}"/>
            </c:ext>
          </c:extLst>
        </c:ser>
        <c:dLbls>
          <c:showLegendKey val="0"/>
          <c:showVal val="0"/>
          <c:showCatName val="0"/>
          <c:showSerName val="0"/>
          <c:showPercent val="0"/>
          <c:showBubbleSize val="0"/>
        </c:dLbls>
        <c:axId val="2082159056"/>
        <c:axId val="1959292528"/>
      </c:areaChart>
      <c:catAx>
        <c:axId val="2082159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959292528"/>
        <c:crosses val="autoZero"/>
        <c:auto val="1"/>
        <c:lblAlgn val="ctr"/>
        <c:lblOffset val="0"/>
        <c:noMultiLvlLbl val="0"/>
      </c:catAx>
      <c:valAx>
        <c:axId val="1959292528"/>
        <c:scaling>
          <c:orientation val="minMax"/>
        </c:scaling>
        <c:delete val="0"/>
        <c:axPos val="l"/>
        <c:majorGridlines>
          <c:spPr>
            <a:ln w="6350" cap="flat" cmpd="sng" algn="ctr">
              <a:solidFill>
                <a:schemeClr val="dk1"/>
              </a:solidFill>
              <a:prstDash val="solid"/>
              <a:miter lim="800000"/>
            </a:ln>
            <a:effectLst/>
          </c:spPr>
        </c:majorGridlines>
        <c:title>
          <c:tx>
            <c:strRef>
              <c:f>'Backend P5'!$L$2</c:f>
              <c:strCache>
                <c:ptCount val="1"/>
                <c:pt idx="0">
                  <c:v>Crewed spacecraft launched</c:v>
                </c:pt>
              </c:strCache>
            </c:strRef>
          </c:tx>
          <c:overlay val="0"/>
          <c:spPr>
            <a:noFill/>
            <a:ln>
              <a:noFill/>
            </a:ln>
            <a:effectLst/>
          </c:spPr>
          <c:txPr>
            <a:bodyPr rot="-5400000" spcFirstLastPara="1" vertOverflow="ellipsis" vert="horz" wrap="square" anchor="ctr" anchorCtr="1"/>
            <a:lstStyle/>
            <a:p>
              <a:pPr>
                <a:defRPr sz="1150" b="0" i="0" u="none" strike="noStrike" kern="1200" baseline="0">
                  <a:solidFill>
                    <a:schemeClr val="tx1"/>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82159056"/>
        <c:crosses val="autoZero"/>
        <c:crossBetween val="midCat"/>
      </c:valAx>
      <c:spPr>
        <a:noFill/>
        <a:ln>
          <a:solidFill>
            <a:schemeClr val="tx1"/>
          </a:solidFill>
        </a:ln>
        <a:effectLst/>
      </c:spPr>
    </c:plotArea>
    <c:legend>
      <c:legendPos val="t"/>
      <c:layout>
        <c:manualLayout>
          <c:xMode val="edge"/>
          <c:yMode val="edge"/>
          <c:x val="0.2009177874333635"/>
          <c:y val="1.5491511586715601E-2"/>
          <c:w val="0.76510607414909548"/>
          <c:h val="8.32648353328592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7553133138229"/>
          <c:y val="0.12587766054529864"/>
          <c:w val="0.76793812109374104"/>
          <c:h val="0.7108162047518265"/>
        </c:manualLayout>
      </c:layout>
      <c:areaChart>
        <c:grouping val="stacked"/>
        <c:varyColors val="0"/>
        <c:ser>
          <c:idx val="0"/>
          <c:order val="0"/>
          <c:tx>
            <c:strRef>
              <c:f>'Backend P5'!$V$4</c:f>
              <c:strCache>
                <c:ptCount val="1"/>
                <c:pt idx="0">
                  <c:v>Earth Orbit</c:v>
                </c:pt>
              </c:strCache>
            </c:strRef>
          </c:tx>
          <c:spPr>
            <a:solidFill>
              <a:schemeClr val="accent1">
                <a:alpha val="0"/>
              </a:schemeClr>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P5'!$W$4:$AB$4</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535-4CF2-88A5-ED420904190D}"/>
            </c:ext>
          </c:extLst>
        </c:ser>
        <c:ser>
          <c:idx val="1"/>
          <c:order val="1"/>
          <c:tx>
            <c:strRef>
              <c:f>'Backend P5'!$V$5</c:f>
              <c:strCache>
                <c:ptCount val="1"/>
                <c:pt idx="0">
                  <c:v>Lunar Mission</c:v>
                </c:pt>
              </c:strCache>
            </c:strRef>
          </c:tx>
          <c:spPr>
            <a:solidFill>
              <a:schemeClr val="accent1">
                <a:alpha val="0"/>
              </a:schemeClr>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P5'!$W$5:$AB$5</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535-4CF2-88A5-ED420904190D}"/>
            </c:ext>
          </c:extLst>
        </c:ser>
        <c:ser>
          <c:idx val="2"/>
          <c:order val="2"/>
          <c:tx>
            <c:strRef>
              <c:f>'Backend P5'!$V$6</c:f>
              <c:strCache>
                <c:ptCount val="1"/>
                <c:pt idx="0">
                  <c:v>Other Space Station</c:v>
                </c:pt>
              </c:strCache>
            </c:strRef>
          </c:tx>
          <c:spPr>
            <a:solidFill>
              <a:schemeClr val="accent1">
                <a:alpha val="0"/>
              </a:schemeClr>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P5'!$W$6:$AB$6</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535-4CF2-88A5-ED420904190D}"/>
            </c:ext>
          </c:extLst>
        </c:ser>
        <c:ser>
          <c:idx val="3"/>
          <c:order val="3"/>
          <c:tx>
            <c:strRef>
              <c:f>'Backend P5'!$V$7</c:f>
              <c:strCache>
                <c:ptCount val="1"/>
                <c:pt idx="0">
                  <c:v>Mir Space Station</c:v>
                </c:pt>
              </c:strCache>
            </c:strRef>
          </c:tx>
          <c:spPr>
            <a:solidFill>
              <a:schemeClr val="accent1">
                <a:alpha val="0"/>
              </a:schemeClr>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P5'!$W$7:$AB$7</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1535-4CF2-88A5-ED420904190D}"/>
            </c:ext>
          </c:extLst>
        </c:ser>
        <c:ser>
          <c:idx val="4"/>
          <c:order val="4"/>
          <c:tx>
            <c:strRef>
              <c:f>'Backend P5'!$V$8</c:f>
              <c:strCache>
                <c:ptCount val="1"/>
                <c:pt idx="0">
                  <c:v>International Space Station</c:v>
                </c:pt>
              </c:strCache>
            </c:strRef>
          </c:tx>
          <c:spPr>
            <a:solidFill>
              <a:schemeClr val="accent1">
                <a:alpha val="0"/>
              </a:schemeClr>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P5'!$W$8:$AB$8</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4-1535-4CF2-88A5-ED420904190D}"/>
            </c:ext>
          </c:extLst>
        </c:ser>
        <c:ser>
          <c:idx val="5"/>
          <c:order val="5"/>
          <c:tx>
            <c:strRef>
              <c:f>'Backend P5'!$V$9</c:f>
              <c:strCache>
                <c:ptCount val="1"/>
                <c:pt idx="0">
                  <c:v>Total</c:v>
                </c:pt>
              </c:strCache>
            </c:strRef>
          </c:tx>
          <c:spPr>
            <a:solidFill>
              <a:schemeClr val="accent6"/>
            </a:solidFill>
            <a:ln>
              <a:noFill/>
            </a:ln>
            <a:effectLst/>
          </c:spPr>
          <c:cat>
            <c:strRef>
              <c:f>'Backend P5'!$W$3:$AB$3</c:f>
              <c:strCache>
                <c:ptCount val="6"/>
                <c:pt idx="0">
                  <c:v>1960s</c:v>
                </c:pt>
                <c:pt idx="1">
                  <c:v>1970s</c:v>
                </c:pt>
                <c:pt idx="2">
                  <c:v>1980s</c:v>
                </c:pt>
                <c:pt idx="3">
                  <c:v>1990s</c:v>
                </c:pt>
                <c:pt idx="4">
                  <c:v>2000s</c:v>
                </c:pt>
                <c:pt idx="5">
                  <c:v>2010s</c:v>
                </c:pt>
              </c:strCache>
            </c:strRef>
          </c:cat>
          <c:val>
            <c:numRef>
              <c:f>'Backend P5'!$W$9:$AB$9</c:f>
              <c:numCache>
                <c:formatCode>#,##0</c:formatCode>
                <c:ptCount val="6"/>
                <c:pt idx="0">
                  <c:v>35</c:v>
                </c:pt>
                <c:pt idx="1">
                  <c:v>34</c:v>
                </c:pt>
                <c:pt idx="2">
                  <c:v>58</c:v>
                </c:pt>
                <c:pt idx="3">
                  <c:v>85</c:v>
                </c:pt>
                <c:pt idx="4">
                  <c:v>58</c:v>
                </c:pt>
                <c:pt idx="5">
                  <c:v>47</c:v>
                </c:pt>
              </c:numCache>
            </c:numRef>
          </c:val>
          <c:extLst>
            <c:ext xmlns:c16="http://schemas.microsoft.com/office/drawing/2014/chart" uri="{C3380CC4-5D6E-409C-BE32-E72D297353CC}">
              <c16:uniqueId val="{00000005-1535-4CF2-88A5-ED420904190D}"/>
            </c:ext>
          </c:extLst>
        </c:ser>
        <c:dLbls>
          <c:showLegendKey val="0"/>
          <c:showVal val="0"/>
          <c:showCatName val="0"/>
          <c:showSerName val="0"/>
          <c:showPercent val="0"/>
          <c:showBubbleSize val="0"/>
        </c:dLbls>
        <c:axId val="141967248"/>
        <c:axId val="1948035456"/>
      </c:areaChart>
      <c:catAx>
        <c:axId val="141967248"/>
        <c:scaling>
          <c:orientation val="minMax"/>
        </c:scaling>
        <c:delete val="0"/>
        <c:axPos val="b"/>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948035456"/>
        <c:crosses val="autoZero"/>
        <c:auto val="1"/>
        <c:lblAlgn val="ctr"/>
        <c:lblOffset val="0"/>
        <c:noMultiLvlLbl val="0"/>
      </c:catAx>
      <c:valAx>
        <c:axId val="1948035456"/>
        <c:scaling>
          <c:orientation val="minMax"/>
        </c:scaling>
        <c:delete val="0"/>
        <c:axPos val="l"/>
        <c:majorGridlines>
          <c:spPr>
            <a:ln w="9525" cap="flat" cmpd="sng" algn="ctr">
              <a:noFill/>
              <a:round/>
            </a:ln>
            <a:effectLst/>
          </c:spPr>
        </c:majorGridlines>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67248"/>
        <c:crosses val="autoZero"/>
        <c:crossBetween val="midCat"/>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r>
              <a:rPr lang="en-US"/>
              <a:t>Cost by year</a:t>
            </a:r>
          </a:p>
        </c:rich>
      </c:tx>
      <c:layout>
        <c:manualLayout>
          <c:xMode val="edge"/>
          <c:yMode val="edge"/>
          <c:x val="0.45783220404752129"/>
          <c:y val="9.3340246034186742E-3"/>
        </c:manualLayout>
      </c:layout>
      <c:overlay val="0"/>
      <c:spPr>
        <a:noFill/>
        <a:ln>
          <a:noFill/>
        </a:ln>
        <a:effectLst/>
      </c:spPr>
      <c:txPr>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67108972489549"/>
          <c:y val="0.12782121905433852"/>
          <c:w val="0.84884125595411686"/>
          <c:h val="0.69465773811919795"/>
        </c:manualLayout>
      </c:layout>
      <c:scatterChart>
        <c:scatterStyle val="lineMarker"/>
        <c:varyColors val="0"/>
        <c:ser>
          <c:idx val="0"/>
          <c:order val="0"/>
          <c:tx>
            <c:strRef>
              <c:f>'Tab1 Backend'!$R$51</c:f>
              <c:strCache>
                <c:ptCount val="1"/>
                <c:pt idx="0">
                  <c:v>Value4</c:v>
                </c:pt>
              </c:strCache>
            </c:strRef>
          </c:tx>
          <c:spPr>
            <a:ln w="25400" cap="rnd">
              <a:noFill/>
              <a:round/>
            </a:ln>
            <a:effectLst/>
          </c:spPr>
          <c:marker>
            <c:symbol val="circle"/>
            <c:size val="5"/>
            <c:spPr>
              <a:solidFill>
                <a:schemeClr val="accent1"/>
              </a:solidFill>
              <a:ln w="9525">
                <a:noFill/>
              </a:ln>
              <a:effectLst/>
            </c:spPr>
          </c:marker>
          <c:xVal>
            <c:numRef>
              <c:f>'Tab1 Backend'!$Q$52:$Q$61</c:f>
              <c:numCache>
                <c:formatCode>General</c:formatCode>
                <c:ptCount val="10"/>
                <c:pt idx="0">
                  <c:v>2021</c:v>
                </c:pt>
                <c:pt idx="1">
                  <c:v>2021</c:v>
                </c:pt>
                <c:pt idx="2">
                  <c:v>2002</c:v>
                </c:pt>
                <c:pt idx="3">
                  <c:v>2006</c:v>
                </c:pt>
                <c:pt idx="4">
                  <c:v>1996</c:v>
                </c:pt>
                <c:pt idx="5">
                  <c:v>2018</c:v>
                </c:pt>
                <c:pt idx="6">
                  <c:v>2010</c:v>
                </c:pt>
                <c:pt idx="7">
                  <c:v>2001</c:v>
                </c:pt>
                <c:pt idx="8">
                  <c:v>1999</c:v>
                </c:pt>
                <c:pt idx="9">
                  <c:v>2004</c:v>
                </c:pt>
              </c:numCache>
            </c:numRef>
          </c:xVal>
          <c:yVal>
            <c:numRef>
              <c:f>'Tab1 Backend'!$R$52:$R$61</c:f>
              <c:numCache>
                <c:formatCode>General</c:formatCode>
                <c:ptCount val="10"/>
                <c:pt idx="0">
                  <c:v>5263.1578947368425</c:v>
                </c:pt>
                <c:pt idx="1">
                  <c:v>3777.7777777777778</c:v>
                </c:pt>
                <c:pt idx="2">
                  <c:v>10476.190476190477</c:v>
                </c:pt>
                <c:pt idx="3">
                  <c:v>5789.4736842105267</c:v>
                </c:pt>
                <c:pt idx="4">
                  <c:v>11250</c:v>
                </c:pt>
                <c:pt idx="5">
                  <c:v>4166.666666666667</c:v>
                </c:pt>
                <c:pt idx="6">
                  <c:v>5904.7619047619046</c:v>
                </c:pt>
                <c:pt idx="7">
                  <c:v>12300</c:v>
                </c:pt>
                <c:pt idx="8">
                  <c:v>9534.8837209302328</c:v>
                </c:pt>
                <c:pt idx="9">
                  <c:v>11396.011396011396</c:v>
                </c:pt>
              </c:numCache>
            </c:numRef>
          </c:yVal>
          <c:smooth val="0"/>
          <c:extLst>
            <c:ext xmlns:c16="http://schemas.microsoft.com/office/drawing/2014/chart" uri="{C3380CC4-5D6E-409C-BE32-E72D297353CC}">
              <c16:uniqueId val="{00000000-5090-4DAB-B1AF-36CA4135D0B1}"/>
            </c:ext>
          </c:extLst>
        </c:ser>
        <c:dLbls>
          <c:showLegendKey val="0"/>
          <c:showVal val="0"/>
          <c:showCatName val="0"/>
          <c:showSerName val="0"/>
          <c:showPercent val="0"/>
          <c:showBubbleSize val="0"/>
        </c:dLbls>
        <c:axId val="362319872"/>
        <c:axId val="1392536607"/>
      </c:scatterChart>
      <c:valAx>
        <c:axId val="3623198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1392536607"/>
        <c:crosses val="autoZero"/>
        <c:crossBetween val="midCat"/>
      </c:valAx>
      <c:valAx>
        <c:axId val="1392536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Cost ($)</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362319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6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percentStacked"/>
        <c:varyColors val="0"/>
        <c:ser>
          <c:idx val="0"/>
          <c:order val="0"/>
          <c:spPr>
            <a:solidFill>
              <a:schemeClr val="bg1"/>
            </a:solidFill>
            <a:ln>
              <a:noFill/>
            </a:ln>
            <a:effectLst/>
          </c:spPr>
          <c:invertIfNegative val="0"/>
          <c:val>
            <c:numRef>
              <c:f>'Backend P5'!$I$12</c:f>
              <c:numCache>
                <c:formatCode>General</c:formatCode>
                <c:ptCount val="1"/>
                <c:pt idx="0">
                  <c:v>1</c:v>
                </c:pt>
              </c:numCache>
            </c:numRef>
          </c:val>
          <c:extLst>
            <c:ext xmlns:c16="http://schemas.microsoft.com/office/drawing/2014/chart" uri="{C3380CC4-5D6E-409C-BE32-E72D297353CC}">
              <c16:uniqueId val="{00000000-F8DA-4431-9D91-313692DCF9AE}"/>
            </c:ext>
          </c:extLst>
        </c:ser>
        <c:ser>
          <c:idx val="1"/>
          <c:order val="1"/>
          <c:spPr>
            <a:solidFill>
              <a:schemeClr val="accent1">
                <a:alpha val="0"/>
              </a:schemeClr>
            </a:solidFill>
            <a:ln>
              <a:noFill/>
            </a:ln>
            <a:effectLst/>
          </c:spPr>
          <c:invertIfNegative val="0"/>
          <c:val>
            <c:numRef>
              <c:f>'Backend P5'!$I$13</c:f>
              <c:numCache>
                <c:formatCode>General</c:formatCode>
                <c:ptCount val="1"/>
                <c:pt idx="0">
                  <c:v>0</c:v>
                </c:pt>
              </c:numCache>
            </c:numRef>
          </c:val>
          <c:extLst>
            <c:ext xmlns:c16="http://schemas.microsoft.com/office/drawing/2014/chart" uri="{C3380CC4-5D6E-409C-BE32-E72D297353CC}">
              <c16:uniqueId val="{00000001-F8DA-4431-9D91-313692DCF9AE}"/>
            </c:ext>
          </c:extLst>
        </c:ser>
        <c:dLbls>
          <c:showLegendKey val="0"/>
          <c:showVal val="0"/>
          <c:showCatName val="0"/>
          <c:showSerName val="0"/>
          <c:showPercent val="0"/>
          <c:showBubbleSize val="0"/>
        </c:dLbls>
        <c:gapWidth val="0"/>
        <c:overlap val="100"/>
        <c:axId val="282210064"/>
        <c:axId val="1757486528"/>
      </c:barChart>
      <c:catAx>
        <c:axId val="282210064"/>
        <c:scaling>
          <c:orientation val="minMax"/>
        </c:scaling>
        <c:delete val="1"/>
        <c:axPos val="l"/>
        <c:majorTickMark val="none"/>
        <c:minorTickMark val="none"/>
        <c:tickLblPos val="none"/>
        <c:crossAx val="1757486528"/>
        <c:crosses val="autoZero"/>
        <c:auto val="1"/>
        <c:lblAlgn val="ctr"/>
        <c:lblOffset val="100"/>
        <c:noMultiLvlLbl val="0"/>
      </c:catAx>
      <c:valAx>
        <c:axId val="1757486528"/>
        <c:scaling>
          <c:orientation val="minMax"/>
          <c:max val="1"/>
          <c:min val="0"/>
        </c:scaling>
        <c:delete val="0"/>
        <c:axPos val="b"/>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210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0.99757594458793275"/>
        </c:manualLayout>
      </c:layout>
      <c:barChart>
        <c:barDir val="col"/>
        <c:grouping val="percentStacked"/>
        <c:varyColors val="0"/>
        <c:ser>
          <c:idx val="1"/>
          <c:order val="0"/>
          <c:tx>
            <c:strRef>
              <c:f>'Backend P5'!$J$8</c:f>
              <c:strCache>
                <c:ptCount val="1"/>
                <c:pt idx="0">
                  <c:v>Crewed missions to space</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4-428F-4B1D-8943-7AE2D893C661}"/>
              </c:ext>
            </c:extLst>
          </c:dPt>
          <c:cat>
            <c:numRef>
              <c:f>'Backend P5'!$N$4</c:f>
              <c:numCache>
                <c:formatCode>General</c:formatCode>
                <c:ptCount val="1"/>
                <c:pt idx="0">
                  <c:v>1</c:v>
                </c:pt>
              </c:numCache>
            </c:numRef>
          </c:cat>
          <c:val>
            <c:numRef>
              <c:f>'Backend P5'!$M$13</c:f>
              <c:numCache>
                <c:formatCode>General</c:formatCode>
                <c:ptCount val="1"/>
                <c:pt idx="0">
                  <c:v>1</c:v>
                </c:pt>
              </c:numCache>
            </c:numRef>
          </c:val>
          <c:extLst>
            <c:ext xmlns:c16="http://schemas.microsoft.com/office/drawing/2014/chart" uri="{C3380CC4-5D6E-409C-BE32-E72D297353CC}">
              <c16:uniqueId val="{00000000-428F-4B1D-8943-7AE2D893C661}"/>
            </c:ext>
          </c:extLst>
        </c:ser>
        <c:ser>
          <c:idx val="2"/>
          <c:order val="1"/>
          <c:tx>
            <c:strRef>
              <c:f>'Backend P5'!$J$9</c:f>
              <c:strCache>
                <c:ptCount val="1"/>
                <c:pt idx="0">
                  <c:v>People Sent to Space</c:v>
                </c:pt>
              </c:strCache>
            </c:strRef>
          </c:tx>
          <c:spPr>
            <a:solidFill>
              <a:schemeClr val="accent3"/>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5-428F-4B1D-8943-7AE2D893C661}"/>
              </c:ext>
            </c:extLst>
          </c:dPt>
          <c:cat>
            <c:numRef>
              <c:f>'Backend P5'!$N$4</c:f>
              <c:numCache>
                <c:formatCode>General</c:formatCode>
                <c:ptCount val="1"/>
                <c:pt idx="0">
                  <c:v>1</c:v>
                </c:pt>
              </c:numCache>
            </c:numRef>
          </c:cat>
          <c:val>
            <c:numRef>
              <c:f>'Backend P5'!$N$13</c:f>
              <c:numCache>
                <c:formatCode>General</c:formatCode>
                <c:ptCount val="1"/>
                <c:pt idx="0">
                  <c:v>#N/A</c:v>
                </c:pt>
              </c:numCache>
            </c:numRef>
          </c:val>
          <c:extLst>
            <c:ext xmlns:c16="http://schemas.microsoft.com/office/drawing/2014/chart" uri="{C3380CC4-5D6E-409C-BE32-E72D297353CC}">
              <c16:uniqueId val="{00000001-428F-4B1D-8943-7AE2D893C661}"/>
            </c:ext>
          </c:extLst>
        </c:ser>
        <c:ser>
          <c:idx val="3"/>
          <c:order val="2"/>
          <c:tx>
            <c:strRef>
              <c:f>'Backend P5'!$J$10</c:f>
              <c:strCache>
                <c:ptCount val="1"/>
                <c:pt idx="0">
                  <c:v>Time in Space</c:v>
                </c:pt>
              </c:strCache>
            </c:strRef>
          </c:tx>
          <c:spPr>
            <a:blipFill>
              <a:blip xmlns:r="http://schemas.openxmlformats.org/officeDocument/2006/relationships" r:embed="rId5"/>
              <a:stretch>
                <a:fillRect/>
              </a:stretch>
            </a:blipFill>
            <a:ln>
              <a:noFill/>
            </a:ln>
            <a:effectLst/>
          </c:spPr>
          <c:invertIfNegative val="0"/>
          <c:val>
            <c:numRef>
              <c:f>'Backend P5'!$O$13</c:f>
              <c:numCache>
                <c:formatCode>General</c:formatCode>
                <c:ptCount val="1"/>
                <c:pt idx="0">
                  <c:v>#N/A</c:v>
                </c:pt>
              </c:numCache>
            </c:numRef>
          </c:val>
          <c:extLst>
            <c:ext xmlns:c16="http://schemas.microsoft.com/office/drawing/2014/chart" uri="{C3380CC4-5D6E-409C-BE32-E72D297353CC}">
              <c16:uniqueId val="{00000002-428F-4B1D-8943-7AE2D893C661}"/>
            </c:ext>
          </c:extLst>
        </c:ser>
        <c:dLbls>
          <c:showLegendKey val="0"/>
          <c:showVal val="0"/>
          <c:showCatName val="0"/>
          <c:showSerName val="0"/>
          <c:showPercent val="0"/>
          <c:showBubbleSize val="0"/>
        </c:dLbls>
        <c:gapWidth val="0"/>
        <c:overlap val="100"/>
        <c:axId val="1741751072"/>
        <c:axId val="310702928"/>
      </c:barChart>
      <c:catAx>
        <c:axId val="1741751072"/>
        <c:scaling>
          <c:orientation val="minMax"/>
        </c:scaling>
        <c:delete val="1"/>
        <c:axPos val="b"/>
        <c:numFmt formatCode="General" sourceLinked="1"/>
        <c:majorTickMark val="none"/>
        <c:minorTickMark val="none"/>
        <c:tickLblPos val="none"/>
        <c:crossAx val="310702928"/>
        <c:crosses val="autoZero"/>
        <c:auto val="1"/>
        <c:lblAlgn val="ctr"/>
        <c:lblOffset val="100"/>
        <c:noMultiLvlLbl val="0"/>
      </c:catAx>
      <c:valAx>
        <c:axId val="310702928"/>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1751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Badge!$K$13</c:f>
              <c:strCache>
                <c:ptCount val="1"/>
                <c:pt idx="0">
                  <c:v>CONGRATULATIONS!</c:v>
                </c:pt>
              </c:strCache>
            </c:strRef>
          </c:tx>
          <c:spPr>
            <a:blipFill>
              <a:blip xmlns:r="http://schemas.openxmlformats.org/officeDocument/2006/relationships" r:embed="rId3"/>
              <a:stretch>
                <a:fillRect/>
              </a:stretch>
            </a:blipFill>
            <a:ln>
              <a:noFill/>
            </a:ln>
            <a:effectLst/>
          </c:spPr>
          <c:invertIfNegative val="0"/>
          <c:val>
            <c:numRef>
              <c:f>Badge!$L$13</c:f>
              <c:numCache>
                <c:formatCode>General</c:formatCode>
                <c:ptCount val="1"/>
                <c:pt idx="0">
                  <c:v>0</c:v>
                </c:pt>
              </c:numCache>
            </c:numRef>
          </c:val>
          <c:extLst>
            <c:ext xmlns:c16="http://schemas.microsoft.com/office/drawing/2014/chart" uri="{C3380CC4-5D6E-409C-BE32-E72D297353CC}">
              <c16:uniqueId val="{00000000-E97E-4FCE-B944-C6896E655650}"/>
            </c:ext>
          </c:extLst>
        </c:ser>
        <c:ser>
          <c:idx val="1"/>
          <c:order val="1"/>
          <c:tx>
            <c:strRef>
              <c:f>Badge!$K$14</c:f>
              <c:strCache>
                <c:ptCount val="1"/>
                <c:pt idx="0">
                  <c:v>Keep answering questions!</c:v>
                </c:pt>
              </c:strCache>
            </c:strRef>
          </c:tx>
          <c:spPr>
            <a:solidFill>
              <a:schemeClr val="accent2"/>
            </a:solid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E97E-4FCE-B944-C6896E655650}"/>
              </c:ext>
            </c:extLst>
          </c:dPt>
          <c:val>
            <c:numRef>
              <c:f>Badge!$L$14</c:f>
              <c:numCache>
                <c:formatCode>General</c:formatCode>
                <c:ptCount val="1"/>
                <c:pt idx="0">
                  <c:v>1</c:v>
                </c:pt>
              </c:numCache>
            </c:numRef>
          </c:val>
          <c:extLst>
            <c:ext xmlns:c16="http://schemas.microsoft.com/office/drawing/2014/chart" uri="{C3380CC4-5D6E-409C-BE32-E72D297353CC}">
              <c16:uniqueId val="{00000003-E97E-4FCE-B944-C6896E655650}"/>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9.8000209973753277E-2"/>
          <c:w val="0.88740740740740742"/>
          <c:h val="0.79866666666666664"/>
        </c:manualLayout>
      </c:layout>
      <c:pieChart>
        <c:varyColors val="1"/>
        <c:ser>
          <c:idx val="0"/>
          <c:order val="0"/>
          <c:spPr>
            <a:ln>
              <a:noFill/>
            </a:ln>
          </c:spPr>
          <c:dPt>
            <c:idx val="0"/>
            <c:bubble3D val="0"/>
            <c:spPr>
              <a:blipFill>
                <a:blip xmlns:r="http://schemas.openxmlformats.org/officeDocument/2006/relationships" r:embed="rId3"/>
                <a:stretch>
                  <a:fillRect/>
                </a:stretch>
              </a:blipFill>
              <a:ln w="19050">
                <a:noFill/>
              </a:ln>
              <a:effectLst/>
            </c:spPr>
            <c:extLst>
              <c:ext xmlns:c16="http://schemas.microsoft.com/office/drawing/2014/chart" uri="{C3380CC4-5D6E-409C-BE32-E72D297353CC}">
                <c16:uniqueId val="{00000001-70A9-458F-95F3-86AF7B555ECC}"/>
              </c:ext>
            </c:extLst>
          </c:dPt>
          <c:dPt>
            <c:idx val="1"/>
            <c:bubble3D val="0"/>
            <c:spPr>
              <a:solidFill>
                <a:schemeClr val="bg2"/>
              </a:solidFill>
              <a:ln w="19050">
                <a:noFill/>
              </a:ln>
              <a:effectLst/>
            </c:spPr>
            <c:extLst>
              <c:ext xmlns:c16="http://schemas.microsoft.com/office/drawing/2014/chart" uri="{C3380CC4-5D6E-409C-BE32-E72D297353CC}">
                <c16:uniqueId val="{00000003-70A9-458F-95F3-86AF7B555ECC}"/>
              </c:ext>
            </c:extLst>
          </c:dPt>
          <c:val>
            <c:numRef>
              <c:f>Badge!$L$13:$L$14</c:f>
              <c:numCache>
                <c:formatCode>General</c:formatCode>
                <c:ptCount val="2"/>
                <c:pt idx="0">
                  <c:v>0</c:v>
                </c:pt>
                <c:pt idx="1">
                  <c:v>1</c:v>
                </c:pt>
              </c:numCache>
            </c:numRef>
          </c:val>
          <c:extLst>
            <c:ext xmlns:c16="http://schemas.microsoft.com/office/drawing/2014/chart" uri="{C3380CC4-5D6E-409C-BE32-E72D297353CC}">
              <c16:uniqueId val="{00000004-70A9-458F-95F3-86AF7B555EC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r>
              <a:rPr lang="en-US"/>
              <a:t>Destinations over time</a:t>
            </a:r>
          </a:p>
        </c:rich>
      </c:tx>
      <c:layout>
        <c:manualLayout>
          <c:xMode val="edge"/>
          <c:yMode val="edge"/>
          <c:x val="0.41185401824771906"/>
          <c:y val="6.5473460234946367E-3"/>
        </c:manualLayout>
      </c:layout>
      <c:overlay val="0"/>
      <c:spPr>
        <a:noFill/>
        <a:ln>
          <a:noFill/>
        </a:ln>
        <a:effectLst/>
      </c:spPr>
      <c:txPr>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658005571196161"/>
          <c:y val="0.15102174778971678"/>
          <c:w val="0.84798679550841183"/>
          <c:h val="0.67228367287422408"/>
        </c:manualLayout>
      </c:layout>
      <c:areaChart>
        <c:grouping val="stacked"/>
        <c:varyColors val="0"/>
        <c:ser>
          <c:idx val="0"/>
          <c:order val="0"/>
          <c:tx>
            <c:strRef>
              <c:f>'Tab1 Backend'!$U$51</c:f>
              <c:strCache>
                <c:ptCount val="1"/>
                <c:pt idx="0">
                  <c:v>A</c:v>
                </c:pt>
              </c:strCache>
            </c:strRef>
          </c:tx>
          <c:spPr>
            <a:solidFill>
              <a:schemeClr val="accent5"/>
            </a:solidFill>
            <a:ln>
              <a:noFill/>
            </a:ln>
            <a:effectLst/>
          </c:spPr>
          <c:cat>
            <c:strRef>
              <c:f>'Tab1 Backend'!$T$52:$T$57</c:f>
              <c:strCache>
                <c:ptCount val="6"/>
                <c:pt idx="0">
                  <c:v>1960-69</c:v>
                </c:pt>
                <c:pt idx="1">
                  <c:v>1970-79</c:v>
                </c:pt>
                <c:pt idx="2">
                  <c:v>1980-89</c:v>
                </c:pt>
                <c:pt idx="3">
                  <c:v>1990-99</c:v>
                </c:pt>
                <c:pt idx="4">
                  <c:v>2000-09</c:v>
                </c:pt>
                <c:pt idx="5">
                  <c:v>2010-19</c:v>
                </c:pt>
              </c:strCache>
            </c:strRef>
          </c:cat>
          <c:val>
            <c:numRef>
              <c:f>'Tab1 Backend'!$U$52:$U$57</c:f>
              <c:numCache>
                <c:formatCode>General</c:formatCode>
                <c:ptCount val="6"/>
                <c:pt idx="0">
                  <c:v>60</c:v>
                </c:pt>
                <c:pt idx="1">
                  <c:v>26</c:v>
                </c:pt>
                <c:pt idx="2">
                  <c:v>163</c:v>
                </c:pt>
                <c:pt idx="3">
                  <c:v>324</c:v>
                </c:pt>
                <c:pt idx="4">
                  <c:v>33</c:v>
                </c:pt>
                <c:pt idx="5">
                  <c:v>0</c:v>
                </c:pt>
              </c:numCache>
            </c:numRef>
          </c:val>
          <c:extLst>
            <c:ext xmlns:c16="http://schemas.microsoft.com/office/drawing/2014/chart" uri="{C3380CC4-5D6E-409C-BE32-E72D297353CC}">
              <c16:uniqueId val="{00000000-1162-4D25-A0E1-E779D0654360}"/>
            </c:ext>
          </c:extLst>
        </c:ser>
        <c:ser>
          <c:idx val="1"/>
          <c:order val="1"/>
          <c:tx>
            <c:strRef>
              <c:f>'Tab1 Backend'!$V$51</c:f>
              <c:strCache>
                <c:ptCount val="1"/>
                <c:pt idx="0">
                  <c:v>B</c:v>
                </c:pt>
              </c:strCache>
            </c:strRef>
          </c:tx>
          <c:spPr>
            <a:solidFill>
              <a:schemeClr val="bg2">
                <a:lumMod val="75000"/>
              </a:schemeClr>
            </a:solidFill>
            <a:ln>
              <a:noFill/>
            </a:ln>
            <a:effectLst/>
          </c:spPr>
          <c:cat>
            <c:strRef>
              <c:f>'Tab1 Backend'!$T$52:$T$57</c:f>
              <c:strCache>
                <c:ptCount val="6"/>
                <c:pt idx="0">
                  <c:v>1960-69</c:v>
                </c:pt>
                <c:pt idx="1">
                  <c:v>1970-79</c:v>
                </c:pt>
                <c:pt idx="2">
                  <c:v>1980-89</c:v>
                </c:pt>
                <c:pt idx="3">
                  <c:v>1990-99</c:v>
                </c:pt>
                <c:pt idx="4">
                  <c:v>2000-09</c:v>
                </c:pt>
                <c:pt idx="5">
                  <c:v>2010-19</c:v>
                </c:pt>
              </c:strCache>
            </c:strRef>
          </c:cat>
          <c:val>
            <c:numRef>
              <c:f>'Tab1 Backend'!$V$52:$V$57</c:f>
              <c:numCache>
                <c:formatCode>General</c:formatCode>
                <c:ptCount val="6"/>
                <c:pt idx="0">
                  <c:v>6</c:v>
                </c:pt>
                <c:pt idx="1">
                  <c:v>12</c:v>
                </c:pt>
                <c:pt idx="2">
                  <c:v>0</c:v>
                </c:pt>
                <c:pt idx="3">
                  <c:v>0</c:v>
                </c:pt>
                <c:pt idx="4">
                  <c:v>0</c:v>
                </c:pt>
                <c:pt idx="5">
                  <c:v>0</c:v>
                </c:pt>
              </c:numCache>
            </c:numRef>
          </c:val>
          <c:extLst>
            <c:ext xmlns:c16="http://schemas.microsoft.com/office/drawing/2014/chart" uri="{C3380CC4-5D6E-409C-BE32-E72D297353CC}">
              <c16:uniqueId val="{00000001-1162-4D25-A0E1-E779D0654360}"/>
            </c:ext>
          </c:extLst>
        </c:ser>
        <c:ser>
          <c:idx val="2"/>
          <c:order val="2"/>
          <c:tx>
            <c:strRef>
              <c:f>'Tab1 Backend'!$W$51</c:f>
              <c:strCache>
                <c:ptCount val="1"/>
                <c:pt idx="0">
                  <c:v>C</c:v>
                </c:pt>
              </c:strCache>
            </c:strRef>
          </c:tx>
          <c:spPr>
            <a:solidFill>
              <a:schemeClr val="accent3"/>
            </a:solidFill>
            <a:ln>
              <a:noFill/>
            </a:ln>
            <a:effectLst/>
          </c:spPr>
          <c:cat>
            <c:strRef>
              <c:f>'Tab1 Backend'!$T$52:$T$57</c:f>
              <c:strCache>
                <c:ptCount val="6"/>
                <c:pt idx="0">
                  <c:v>1960-69</c:v>
                </c:pt>
                <c:pt idx="1">
                  <c:v>1970-79</c:v>
                </c:pt>
                <c:pt idx="2">
                  <c:v>1980-89</c:v>
                </c:pt>
                <c:pt idx="3">
                  <c:v>1990-99</c:v>
                </c:pt>
                <c:pt idx="4">
                  <c:v>2000-09</c:v>
                </c:pt>
                <c:pt idx="5">
                  <c:v>2010-19</c:v>
                </c:pt>
              </c:strCache>
            </c:strRef>
          </c:cat>
          <c:val>
            <c:numRef>
              <c:f>'Tab1 Backend'!$W$52:$W$57</c:f>
              <c:numCache>
                <c:formatCode>General</c:formatCode>
                <c:ptCount val="6"/>
                <c:pt idx="0">
                  <c:v>0</c:v>
                </c:pt>
                <c:pt idx="1">
                  <c:v>39</c:v>
                </c:pt>
                <c:pt idx="2">
                  <c:v>43</c:v>
                </c:pt>
                <c:pt idx="3">
                  <c:v>0</c:v>
                </c:pt>
                <c:pt idx="4">
                  <c:v>0</c:v>
                </c:pt>
                <c:pt idx="5">
                  <c:v>8</c:v>
                </c:pt>
              </c:numCache>
            </c:numRef>
          </c:val>
          <c:extLst>
            <c:ext xmlns:c16="http://schemas.microsoft.com/office/drawing/2014/chart" uri="{C3380CC4-5D6E-409C-BE32-E72D297353CC}">
              <c16:uniqueId val="{00000002-1162-4D25-A0E1-E779D0654360}"/>
            </c:ext>
          </c:extLst>
        </c:ser>
        <c:ser>
          <c:idx val="3"/>
          <c:order val="3"/>
          <c:tx>
            <c:strRef>
              <c:f>'Tab1 Backend'!$X$51</c:f>
              <c:strCache>
                <c:ptCount val="1"/>
                <c:pt idx="0">
                  <c:v>D</c:v>
                </c:pt>
              </c:strCache>
            </c:strRef>
          </c:tx>
          <c:spPr>
            <a:solidFill>
              <a:schemeClr val="accent1"/>
            </a:solidFill>
            <a:ln>
              <a:noFill/>
            </a:ln>
            <a:effectLst/>
          </c:spPr>
          <c:cat>
            <c:strRef>
              <c:f>'Tab1 Backend'!$T$52:$T$57</c:f>
              <c:strCache>
                <c:ptCount val="6"/>
                <c:pt idx="0">
                  <c:v>1960-69</c:v>
                </c:pt>
                <c:pt idx="1">
                  <c:v>1970-79</c:v>
                </c:pt>
                <c:pt idx="2">
                  <c:v>1980-89</c:v>
                </c:pt>
                <c:pt idx="3">
                  <c:v>1990-99</c:v>
                </c:pt>
                <c:pt idx="4">
                  <c:v>2000-09</c:v>
                </c:pt>
                <c:pt idx="5">
                  <c:v>2010-19</c:v>
                </c:pt>
              </c:strCache>
            </c:strRef>
          </c:cat>
          <c:val>
            <c:numRef>
              <c:f>'Tab1 Backend'!$X$52:$X$57</c:f>
              <c:numCache>
                <c:formatCode>General</c:formatCode>
                <c:ptCount val="6"/>
                <c:pt idx="0">
                  <c:v>0</c:v>
                </c:pt>
                <c:pt idx="1">
                  <c:v>0</c:v>
                </c:pt>
                <c:pt idx="2">
                  <c:v>21</c:v>
                </c:pt>
                <c:pt idx="3">
                  <c:v>114</c:v>
                </c:pt>
                <c:pt idx="4">
                  <c:v>2</c:v>
                </c:pt>
                <c:pt idx="5">
                  <c:v>0</c:v>
                </c:pt>
              </c:numCache>
            </c:numRef>
          </c:val>
          <c:extLst>
            <c:ext xmlns:c16="http://schemas.microsoft.com/office/drawing/2014/chart" uri="{C3380CC4-5D6E-409C-BE32-E72D297353CC}">
              <c16:uniqueId val="{00000003-1162-4D25-A0E1-E779D0654360}"/>
            </c:ext>
          </c:extLst>
        </c:ser>
        <c:ser>
          <c:idx val="4"/>
          <c:order val="4"/>
          <c:tx>
            <c:strRef>
              <c:f>'Tab1 Backend'!$Y$51</c:f>
              <c:strCache>
                <c:ptCount val="1"/>
                <c:pt idx="0">
                  <c:v>E</c:v>
                </c:pt>
              </c:strCache>
            </c:strRef>
          </c:tx>
          <c:spPr>
            <a:solidFill>
              <a:schemeClr val="accent4"/>
            </a:solidFill>
            <a:ln>
              <a:noFill/>
            </a:ln>
            <a:effectLst/>
          </c:spPr>
          <c:cat>
            <c:strRef>
              <c:f>'Tab1 Backend'!$T$52:$T$57</c:f>
              <c:strCache>
                <c:ptCount val="6"/>
                <c:pt idx="0">
                  <c:v>1960-69</c:v>
                </c:pt>
                <c:pt idx="1">
                  <c:v>1970-79</c:v>
                </c:pt>
                <c:pt idx="2">
                  <c:v>1980-89</c:v>
                </c:pt>
                <c:pt idx="3">
                  <c:v>1990-99</c:v>
                </c:pt>
                <c:pt idx="4">
                  <c:v>2000-09</c:v>
                </c:pt>
                <c:pt idx="5">
                  <c:v>2010-19</c:v>
                </c:pt>
              </c:strCache>
            </c:strRef>
          </c:cat>
          <c:val>
            <c:numRef>
              <c:f>'Tab1 Backend'!$Y$52:$Y$57</c:f>
              <c:numCache>
                <c:formatCode>General</c:formatCode>
                <c:ptCount val="6"/>
                <c:pt idx="0">
                  <c:v>0</c:v>
                </c:pt>
                <c:pt idx="1">
                  <c:v>0</c:v>
                </c:pt>
                <c:pt idx="2">
                  <c:v>0</c:v>
                </c:pt>
                <c:pt idx="3">
                  <c:v>13</c:v>
                </c:pt>
                <c:pt idx="4">
                  <c:v>256</c:v>
                </c:pt>
                <c:pt idx="5">
                  <c:v>148</c:v>
                </c:pt>
              </c:numCache>
            </c:numRef>
          </c:val>
          <c:extLst>
            <c:ext xmlns:c16="http://schemas.microsoft.com/office/drawing/2014/chart" uri="{C3380CC4-5D6E-409C-BE32-E72D297353CC}">
              <c16:uniqueId val="{00000004-1162-4D25-A0E1-E779D0654360}"/>
            </c:ext>
          </c:extLst>
        </c:ser>
        <c:dLbls>
          <c:showLegendKey val="0"/>
          <c:showVal val="0"/>
          <c:showCatName val="0"/>
          <c:showSerName val="0"/>
          <c:showPercent val="0"/>
          <c:showBubbleSize val="0"/>
        </c:dLbls>
        <c:axId val="299068736"/>
        <c:axId val="109982528"/>
      </c:areaChart>
      <c:catAx>
        <c:axId val="299068736"/>
        <c:scaling>
          <c:orientation val="minMax"/>
        </c:scaling>
        <c:delete val="0"/>
        <c:axPos val="b"/>
        <c:title>
          <c:tx>
            <c:rich>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Decade</a:t>
                </a:r>
              </a:p>
            </c:rich>
          </c:tx>
          <c:overlay val="0"/>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109982528"/>
        <c:crosses val="autoZero"/>
        <c:auto val="1"/>
        <c:lblAlgn val="ctr"/>
        <c:lblOffset val="100"/>
        <c:noMultiLvlLbl val="0"/>
      </c:catAx>
      <c:valAx>
        <c:axId val="10998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Value</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299068736"/>
        <c:crosses val="autoZero"/>
        <c:crossBetween val="midCat"/>
      </c:valAx>
      <c:spPr>
        <a:noFill/>
        <a:ln>
          <a:noFill/>
        </a:ln>
        <a:effectLst/>
      </c:spPr>
    </c:plotArea>
    <c:legend>
      <c:legendPos val="t"/>
      <c:layout>
        <c:manualLayout>
          <c:xMode val="edge"/>
          <c:yMode val="edge"/>
          <c:x val="0.37065658894448394"/>
          <c:y val="8.2779157449237056E-2"/>
          <c:w val="0.33534612860892388"/>
          <c:h val="6.017474454042759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r>
              <a:rPr lang="en-US"/>
              <a:t>Value by rocket</a:t>
            </a:r>
          </a:p>
        </c:rich>
      </c:tx>
      <c:layout>
        <c:manualLayout>
          <c:xMode val="edge"/>
          <c:yMode val="edge"/>
          <c:x val="0.41028022197094299"/>
          <c:y val="9.7971032380880035E-2"/>
        </c:manualLayout>
      </c:layout>
      <c:overlay val="0"/>
      <c:spPr>
        <a:noFill/>
        <a:ln>
          <a:noFill/>
        </a:ln>
        <a:effectLst/>
      </c:spPr>
      <c:txPr>
        <a:bodyPr rot="0" spcFirstLastPara="1" vertOverflow="ellipsis" vert="horz" wrap="square" anchor="ctr" anchorCtr="1"/>
        <a:lstStyle/>
        <a:p>
          <a:pPr>
            <a:defRPr sz="7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76970646154992"/>
          <c:y val="0.20027094835484621"/>
          <c:w val="0.86111326745144146"/>
          <c:h val="0.59905340163020004"/>
        </c:manualLayout>
      </c:layout>
      <c:barChart>
        <c:barDir val="col"/>
        <c:grouping val="clustered"/>
        <c:varyColors val="0"/>
        <c:ser>
          <c:idx val="0"/>
          <c:order val="0"/>
          <c:tx>
            <c:strRef>
              <c:f>'Tab1 Backend'!$N$51</c:f>
              <c:strCache>
                <c:ptCount val="1"/>
                <c:pt idx="0">
                  <c:v>Value</c:v>
                </c:pt>
              </c:strCache>
            </c:strRef>
          </c:tx>
          <c:spPr>
            <a:solidFill>
              <a:schemeClr val="accent4"/>
            </a:solidFill>
            <a:ln>
              <a:noFill/>
            </a:ln>
            <a:effectLst/>
          </c:spPr>
          <c:invertIfNegative val="0"/>
          <c:cat>
            <c:strRef>
              <c:f>'Tab1 Backend'!$M$52:$M$61</c:f>
              <c:strCache>
                <c:ptCount val="10"/>
                <c:pt idx="0">
                  <c:v>R1</c:v>
                </c:pt>
                <c:pt idx="1">
                  <c:v>R2</c:v>
                </c:pt>
                <c:pt idx="2">
                  <c:v>R3</c:v>
                </c:pt>
                <c:pt idx="3">
                  <c:v>R4</c:v>
                </c:pt>
                <c:pt idx="4">
                  <c:v>R5</c:v>
                </c:pt>
                <c:pt idx="5">
                  <c:v>R6</c:v>
                </c:pt>
                <c:pt idx="6">
                  <c:v>R7</c:v>
                </c:pt>
                <c:pt idx="7">
                  <c:v>R8</c:v>
                </c:pt>
                <c:pt idx="8">
                  <c:v>R9</c:v>
                </c:pt>
                <c:pt idx="9">
                  <c:v>R10</c:v>
                </c:pt>
              </c:strCache>
            </c:strRef>
          </c:cat>
          <c:val>
            <c:numRef>
              <c:f>'Tab1 Backend'!$N$52:$N$61</c:f>
              <c:numCache>
                <c:formatCode>General</c:formatCode>
                <c:ptCount val="10"/>
                <c:pt idx="0">
                  <c:v>95000</c:v>
                </c:pt>
                <c:pt idx="1">
                  <c:v>45000</c:v>
                </c:pt>
                <c:pt idx="2">
                  <c:v>21000</c:v>
                </c:pt>
                <c:pt idx="3">
                  <c:v>19000</c:v>
                </c:pt>
                <c:pt idx="4">
                  <c:v>16000</c:v>
                </c:pt>
                <c:pt idx="5">
                  <c:v>15600</c:v>
                </c:pt>
                <c:pt idx="6">
                  <c:v>10500</c:v>
                </c:pt>
                <c:pt idx="7">
                  <c:v>10000</c:v>
                </c:pt>
                <c:pt idx="8">
                  <c:v>8600</c:v>
                </c:pt>
                <c:pt idx="9">
                  <c:v>7020</c:v>
                </c:pt>
              </c:numCache>
            </c:numRef>
          </c:val>
          <c:extLst>
            <c:ext xmlns:c16="http://schemas.microsoft.com/office/drawing/2014/chart" uri="{C3380CC4-5D6E-409C-BE32-E72D297353CC}">
              <c16:uniqueId val="{00000000-5F94-4B5C-AE83-EE875B96B522}"/>
            </c:ext>
          </c:extLst>
        </c:ser>
        <c:dLbls>
          <c:showLegendKey val="0"/>
          <c:showVal val="0"/>
          <c:showCatName val="0"/>
          <c:showSerName val="0"/>
          <c:showPercent val="0"/>
          <c:showBubbleSize val="0"/>
        </c:dLbls>
        <c:gapWidth val="219"/>
        <c:overlap val="-27"/>
        <c:axId val="155886592"/>
        <c:axId val="1409242207"/>
      </c:barChart>
      <c:catAx>
        <c:axId val="155886592"/>
        <c:scaling>
          <c:orientation val="minMax"/>
        </c:scaling>
        <c:delete val="0"/>
        <c:axPos val="b"/>
        <c:title>
          <c:tx>
            <c:rich>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Category names</a:t>
                </a:r>
              </a:p>
            </c:rich>
          </c:tx>
          <c:overlay val="0"/>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solidFill>
                <a:latin typeface="+mn-lt"/>
                <a:ea typeface="+mn-ea"/>
                <a:cs typeface="+mn-cs"/>
              </a:defRPr>
            </a:pPr>
            <a:endParaRPr lang="en-US"/>
          </a:p>
        </c:txPr>
        <c:crossAx val="1409242207"/>
        <c:crosses val="autoZero"/>
        <c:auto val="1"/>
        <c:lblAlgn val="ctr"/>
        <c:lblOffset val="100"/>
        <c:noMultiLvlLbl val="0"/>
      </c:catAx>
      <c:valAx>
        <c:axId val="1409242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r>
                  <a:rPr lang="en-US"/>
                  <a:t>Value</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solidFill>
                <a:latin typeface="+mn-lt"/>
                <a:ea typeface="+mn-ea"/>
                <a:cs typeface="+mn-cs"/>
              </a:defRPr>
            </a:pPr>
            <a:endParaRPr lang="en-US"/>
          </a:p>
        </c:txPr>
        <c:crossAx val="155886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6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'Tab1 Backend'!$Z$9</c:f>
              <c:strCache>
                <c:ptCount val="1"/>
                <c:pt idx="0">
                  <c:v>What is a chart?</c:v>
                </c:pt>
              </c:strCache>
            </c:strRef>
          </c:tx>
          <c:spPr>
            <a:solidFill>
              <a:schemeClr val="bg1">
                <a:alpha val="0"/>
              </a:schemeClr>
            </a:solidFill>
            <a:ln>
              <a:noFill/>
            </a:ln>
            <a:effectLst/>
          </c:spPr>
          <c:invertIfNegative val="0"/>
          <c:dPt>
            <c:idx val="0"/>
            <c:invertIfNegative val="0"/>
            <c:bubble3D val="0"/>
            <c:spPr>
              <a:solidFill>
                <a:schemeClr val="bg1">
                  <a:alpha val="0"/>
                </a:schemeClr>
              </a:solidFill>
              <a:ln>
                <a:noFill/>
              </a:ln>
              <a:effectLst/>
            </c:spPr>
            <c:extLst>
              <c:ext xmlns:c16="http://schemas.microsoft.com/office/drawing/2014/chart" uri="{C3380CC4-5D6E-409C-BE32-E72D297353CC}">
                <c16:uniqueId val="{00000006-ED99-41F1-A253-30EC95FEA41E}"/>
              </c:ext>
            </c:extLst>
          </c:dPt>
          <c:val>
            <c:numRef>
              <c:f>'Tab1 Backend'!$AB$9</c:f>
              <c:numCache>
                <c:formatCode>General</c:formatCode>
                <c:ptCount val="1"/>
                <c:pt idx="0">
                  <c:v>1</c:v>
                </c:pt>
              </c:numCache>
            </c:numRef>
          </c:val>
          <c:extLst>
            <c:ext xmlns:c16="http://schemas.microsoft.com/office/drawing/2014/chart" uri="{C3380CC4-5D6E-409C-BE32-E72D297353CC}">
              <c16:uniqueId val="{00000000-3575-48ED-8973-561C56639B5A}"/>
            </c:ext>
          </c:extLst>
        </c:ser>
        <c:ser>
          <c:idx val="1"/>
          <c:order val="1"/>
          <c:tx>
            <c:strRef>
              <c:f>'Tab1 Backend'!$Z$10</c:f>
              <c:strCache>
                <c:ptCount val="1"/>
                <c:pt idx="0">
                  <c:v>Column charts</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4-ED99-41F1-A253-30EC95FEA41E}"/>
              </c:ext>
            </c:extLst>
          </c:dPt>
          <c:val>
            <c:numRef>
              <c:f>'Tab1 Backend'!$AB$10</c:f>
              <c:numCache>
                <c:formatCode>General</c:formatCode>
                <c:ptCount val="1"/>
                <c:pt idx="0">
                  <c:v>0</c:v>
                </c:pt>
              </c:numCache>
            </c:numRef>
          </c:val>
          <c:extLst>
            <c:ext xmlns:c16="http://schemas.microsoft.com/office/drawing/2014/chart" uri="{C3380CC4-5D6E-409C-BE32-E72D297353CC}">
              <c16:uniqueId val="{00000001-3575-48ED-8973-561C56639B5A}"/>
            </c:ext>
          </c:extLst>
        </c:ser>
        <c:ser>
          <c:idx val="2"/>
          <c:order val="2"/>
          <c:tx>
            <c:strRef>
              <c:f>'Tab1 Backend'!$Z$11</c:f>
              <c:strCache>
                <c:ptCount val="1"/>
                <c:pt idx="0">
                  <c:v>100% stacked column charts</c:v>
                </c:pt>
              </c:strCache>
            </c:strRef>
          </c:tx>
          <c:spPr>
            <a:solidFill>
              <a:schemeClr val="accent3"/>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5-ED99-41F1-A253-30EC95FEA41E}"/>
              </c:ext>
            </c:extLst>
          </c:dPt>
          <c:val>
            <c:numRef>
              <c:f>'Tab1 Backend'!$AB$11</c:f>
              <c:numCache>
                <c:formatCode>General</c:formatCode>
                <c:ptCount val="1"/>
                <c:pt idx="0">
                  <c:v>0</c:v>
                </c:pt>
              </c:numCache>
            </c:numRef>
          </c:val>
          <c:extLst>
            <c:ext xmlns:c16="http://schemas.microsoft.com/office/drawing/2014/chart" uri="{C3380CC4-5D6E-409C-BE32-E72D297353CC}">
              <c16:uniqueId val="{00000002-3575-48ED-8973-561C56639B5A}"/>
            </c:ext>
          </c:extLst>
        </c:ser>
        <c:ser>
          <c:idx val="3"/>
          <c:order val="3"/>
          <c:tx>
            <c:strRef>
              <c:f>'Tab1 Backend'!$Z$12</c:f>
              <c:strCache>
                <c:ptCount val="1"/>
                <c:pt idx="0">
                  <c:v>Scatter charts</c:v>
                </c:pt>
              </c:strCache>
            </c:strRef>
          </c:tx>
          <c:spPr>
            <a:solidFill>
              <a:schemeClr val="accent4"/>
            </a:solid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extLst>
              <c:ext xmlns:c16="http://schemas.microsoft.com/office/drawing/2014/chart" uri="{C3380CC4-5D6E-409C-BE32-E72D297353CC}">
                <c16:uniqueId val="{00000006-3575-48ED-8973-561C56639B5A}"/>
              </c:ext>
            </c:extLst>
          </c:dPt>
          <c:val>
            <c:numRef>
              <c:f>'Tab1 Backend'!$AB$12</c:f>
              <c:numCache>
                <c:formatCode>General</c:formatCode>
                <c:ptCount val="1"/>
                <c:pt idx="0">
                  <c:v>0</c:v>
                </c:pt>
              </c:numCache>
            </c:numRef>
          </c:val>
          <c:extLst>
            <c:ext xmlns:c16="http://schemas.microsoft.com/office/drawing/2014/chart" uri="{C3380CC4-5D6E-409C-BE32-E72D297353CC}">
              <c16:uniqueId val="{00000003-3575-48ED-8973-561C56639B5A}"/>
            </c:ext>
          </c:extLst>
        </c:ser>
        <c:ser>
          <c:idx val="4"/>
          <c:order val="4"/>
          <c:tx>
            <c:strRef>
              <c:f>'Tab1 Backend'!$Z$13</c:f>
              <c:strCache>
                <c:ptCount val="1"/>
                <c:pt idx="0">
                  <c:v>Stacked area charts</c:v>
                </c:pt>
              </c:strCache>
            </c:strRef>
          </c:tx>
          <c:spPr>
            <a:solidFill>
              <a:schemeClr val="accent5"/>
            </a:solidFill>
            <a:ln>
              <a:noFill/>
            </a:ln>
            <a:effectLst/>
          </c:spPr>
          <c:invertIfNegative val="0"/>
          <c:dPt>
            <c:idx val="0"/>
            <c:invertIfNegative val="0"/>
            <c:bubble3D val="0"/>
            <c:spPr>
              <a:blipFill>
                <a:blip xmlns:r="http://schemas.openxmlformats.org/officeDocument/2006/relationships" r:embed="rId6"/>
                <a:stretch>
                  <a:fillRect/>
                </a:stretch>
              </a:blipFill>
              <a:ln>
                <a:noFill/>
              </a:ln>
              <a:effectLst/>
            </c:spPr>
            <c:extLst>
              <c:ext xmlns:c16="http://schemas.microsoft.com/office/drawing/2014/chart" uri="{C3380CC4-5D6E-409C-BE32-E72D297353CC}">
                <c16:uniqueId val="{00000003-ED99-41F1-A253-30EC95FEA41E}"/>
              </c:ext>
            </c:extLst>
          </c:dPt>
          <c:val>
            <c:numRef>
              <c:f>'Tab1 Backend'!$AB$13</c:f>
              <c:numCache>
                <c:formatCode>General</c:formatCode>
                <c:ptCount val="1"/>
                <c:pt idx="0">
                  <c:v>0</c:v>
                </c:pt>
              </c:numCache>
            </c:numRef>
          </c:val>
          <c:extLst>
            <c:ext xmlns:c16="http://schemas.microsoft.com/office/drawing/2014/chart" uri="{C3380CC4-5D6E-409C-BE32-E72D297353CC}">
              <c16:uniqueId val="{00000004-3575-48ED-8973-561C56639B5A}"/>
            </c:ext>
          </c:extLst>
        </c:ser>
        <c:dLbls>
          <c:showLegendKey val="0"/>
          <c:showVal val="0"/>
          <c:showCatName val="0"/>
          <c:showSerName val="0"/>
          <c:showPercent val="0"/>
          <c:showBubbleSize val="0"/>
        </c:dLbls>
        <c:gapWidth val="0"/>
        <c:overlap val="100"/>
        <c:axId val="1950129280"/>
        <c:axId val="2037430128"/>
      </c:barChart>
      <c:catAx>
        <c:axId val="1950129280"/>
        <c:scaling>
          <c:orientation val="minMax"/>
        </c:scaling>
        <c:delete val="1"/>
        <c:axPos val="b"/>
        <c:numFmt formatCode="General" sourceLinked="1"/>
        <c:majorTickMark val="none"/>
        <c:minorTickMark val="none"/>
        <c:tickLblPos val="nextTo"/>
        <c:crossAx val="2037430128"/>
        <c:crosses val="autoZero"/>
        <c:auto val="1"/>
        <c:lblAlgn val="ctr"/>
        <c:lblOffset val="100"/>
        <c:noMultiLvlLbl val="0"/>
      </c:catAx>
      <c:valAx>
        <c:axId val="2037430128"/>
        <c:scaling>
          <c:orientation val="minMax"/>
        </c:scaling>
        <c:delete val="1"/>
        <c:axPos val="l"/>
        <c:numFmt formatCode="0%" sourceLinked="1"/>
        <c:majorTickMark val="none"/>
        <c:minorTickMark val="none"/>
        <c:tickLblPos val="nextTo"/>
        <c:crossAx val="1950129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Badge!$K$13</c:f>
              <c:strCache>
                <c:ptCount val="1"/>
                <c:pt idx="0">
                  <c:v>CONGRATULATIONS!</c:v>
                </c:pt>
              </c:strCache>
            </c:strRef>
          </c:tx>
          <c:spPr>
            <a:blipFill>
              <a:blip xmlns:r="http://schemas.openxmlformats.org/officeDocument/2006/relationships" r:embed="rId3"/>
              <a:stretch>
                <a:fillRect/>
              </a:stretch>
            </a:blipFill>
            <a:ln>
              <a:noFill/>
            </a:ln>
            <a:effectLst/>
          </c:spPr>
          <c:invertIfNegative val="0"/>
          <c:val>
            <c:numRef>
              <c:f>Badge!$L$13</c:f>
              <c:numCache>
                <c:formatCode>General</c:formatCode>
                <c:ptCount val="1"/>
                <c:pt idx="0">
                  <c:v>0</c:v>
                </c:pt>
              </c:numCache>
            </c:numRef>
          </c:val>
          <c:extLst>
            <c:ext xmlns:c16="http://schemas.microsoft.com/office/drawing/2014/chart" uri="{C3380CC4-5D6E-409C-BE32-E72D297353CC}">
              <c16:uniqueId val="{00000000-B91D-4AF5-B993-61202E522B7F}"/>
            </c:ext>
          </c:extLst>
        </c:ser>
        <c:ser>
          <c:idx val="1"/>
          <c:order val="1"/>
          <c:tx>
            <c:strRef>
              <c:f>Badge!$K$14</c:f>
              <c:strCache>
                <c:ptCount val="1"/>
                <c:pt idx="0">
                  <c:v>Keep answering questions!</c:v>
                </c:pt>
              </c:strCache>
            </c:strRef>
          </c:tx>
          <c:spPr>
            <a:solidFill>
              <a:schemeClr val="accent2"/>
            </a:solid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B91D-4AF5-B993-61202E522B7F}"/>
              </c:ext>
            </c:extLst>
          </c:dPt>
          <c:val>
            <c:numRef>
              <c:f>Badge!$L$14</c:f>
              <c:numCache>
                <c:formatCode>General</c:formatCode>
                <c:ptCount val="1"/>
                <c:pt idx="0">
                  <c:v>1</c:v>
                </c:pt>
              </c:numCache>
            </c:numRef>
          </c:val>
          <c:extLst>
            <c:ext xmlns:c16="http://schemas.microsoft.com/office/drawing/2014/chart" uri="{C3380CC4-5D6E-409C-BE32-E72D297353CC}">
              <c16:uniqueId val="{00000003-B91D-4AF5-B993-61202E522B7F}"/>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US" sz="1200" b="1"/>
              <a:t>Payload (kg) by Rocket</a:t>
            </a:r>
          </a:p>
        </c:rich>
      </c:tx>
      <c:layout>
        <c:manualLayout>
          <c:xMode val="edge"/>
          <c:yMode val="edge"/>
          <c:x val="0.445457418886469"/>
          <c:y val="4.910292436912408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281115764784721"/>
          <c:y val="8.9365389165807038E-2"/>
          <c:w val="0.85017266990562346"/>
          <c:h val="0.71728044033337413"/>
        </c:manualLayout>
      </c:layout>
      <c:barChart>
        <c:barDir val="col"/>
        <c:grouping val="clustered"/>
        <c:varyColors val="0"/>
        <c:ser>
          <c:idx val="0"/>
          <c:order val="0"/>
          <c:tx>
            <c:strRef>
              <c:f>'2.Visualizing with SIZE'!$H$22</c:f>
              <c:strCache>
                <c:ptCount val="1"/>
                <c:pt idx="0">
                  <c:v>Payload mass (kg)</c:v>
                </c:pt>
              </c:strCache>
            </c:strRef>
          </c:tx>
          <c:spPr>
            <a:solidFill>
              <a:schemeClr val="accent4"/>
            </a:solidFill>
            <a:ln>
              <a:noFill/>
            </a:ln>
            <a:effectLst/>
          </c:spPr>
          <c:invertIfNegative val="0"/>
          <c:cat>
            <c:strRef>
              <c:f>'2.Visualizing with SIZE'!$F$23:$F$31</c:f>
              <c:strCache>
                <c:ptCount val="9"/>
                <c:pt idx="0">
                  <c:v>Ariane 5 ECA</c:v>
                </c:pt>
                <c:pt idx="1">
                  <c:v>Ariane 5G</c:v>
                </c:pt>
                <c:pt idx="2">
                  <c:v>Atlas V 551</c:v>
                </c:pt>
                <c:pt idx="3">
                  <c:v>Falcon 9</c:v>
                </c:pt>
                <c:pt idx="4">
                  <c:v>Falcon 9 FT</c:v>
                </c:pt>
                <c:pt idx="5">
                  <c:v>H-IIA</c:v>
                </c:pt>
                <c:pt idx="6">
                  <c:v>Long March 2F</c:v>
                </c:pt>
                <c:pt idx="7">
                  <c:v>SLS</c:v>
                </c:pt>
                <c:pt idx="8">
                  <c:v>Soyuz-2</c:v>
                </c:pt>
              </c:strCache>
            </c:strRef>
          </c:cat>
          <c:val>
            <c:numRef>
              <c:f>'2.Visualizing with SIZE'!$H$23:$H$31</c:f>
              <c:numCache>
                <c:formatCode>#,##0</c:formatCode>
                <c:ptCount val="9"/>
                <c:pt idx="0">
                  <c:v>21000</c:v>
                </c:pt>
                <c:pt idx="1">
                  <c:v>16000</c:v>
                </c:pt>
                <c:pt idx="2">
                  <c:v>19000</c:v>
                </c:pt>
                <c:pt idx="3">
                  <c:v>10500</c:v>
                </c:pt>
                <c:pt idx="4">
                  <c:v>15600</c:v>
                </c:pt>
                <c:pt idx="5">
                  <c:v>10000</c:v>
                </c:pt>
                <c:pt idx="6">
                  <c:v>8600</c:v>
                </c:pt>
                <c:pt idx="7">
                  <c:v>95000</c:v>
                </c:pt>
                <c:pt idx="8">
                  <c:v>7020</c:v>
                </c:pt>
              </c:numCache>
            </c:numRef>
          </c:val>
          <c:extLst>
            <c:ext xmlns:c16="http://schemas.microsoft.com/office/drawing/2014/chart" uri="{C3380CC4-5D6E-409C-BE32-E72D297353CC}">
              <c16:uniqueId val="{00000000-AE02-4F84-BDFB-F3492F97FAF9}"/>
            </c:ext>
          </c:extLst>
        </c:ser>
        <c:dLbls>
          <c:showLegendKey val="0"/>
          <c:showVal val="0"/>
          <c:showCatName val="0"/>
          <c:showSerName val="0"/>
          <c:showPercent val="0"/>
          <c:showBubbleSize val="0"/>
        </c:dLbls>
        <c:gapWidth val="219"/>
        <c:overlap val="-27"/>
        <c:axId val="593110368"/>
        <c:axId val="695690000"/>
      </c:barChart>
      <c:catAx>
        <c:axId val="593110368"/>
        <c:scaling>
          <c:orientation val="minMax"/>
        </c:scaling>
        <c:delete val="0"/>
        <c:axPos val="b"/>
        <c:title>
          <c:tx>
            <c:strRef>
              <c:f>'2.Visualizing with SIZE'!$F$22</c:f>
              <c:strCache>
                <c:ptCount val="1"/>
                <c:pt idx="0">
                  <c:v>Rocket name</c:v>
                </c:pt>
              </c:strCache>
            </c:strRef>
          </c:tx>
          <c:overlay val="0"/>
          <c:spPr>
            <a:noFill/>
            <a:ln>
              <a:noFill/>
            </a:ln>
            <a:effectLst/>
          </c:spPr>
          <c:txPr>
            <a:bodyPr rot="0" spcFirstLastPara="1" vertOverflow="ellipsis" vert="horz" wrap="square" anchor="ctr" anchorCtr="1"/>
            <a:lstStyle/>
            <a:p>
              <a:pPr>
                <a:defRPr sz="11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5690000"/>
        <c:crosses val="autoZero"/>
        <c:auto val="1"/>
        <c:lblAlgn val="ctr"/>
        <c:lblOffset val="100"/>
        <c:noMultiLvlLbl val="0"/>
      </c:catAx>
      <c:valAx>
        <c:axId val="695690000"/>
        <c:scaling>
          <c:orientation val="minMax"/>
        </c:scaling>
        <c:delete val="0"/>
        <c:axPos val="l"/>
        <c:majorGridlines>
          <c:spPr>
            <a:ln w="9525" cap="flat" cmpd="sng" algn="ctr">
              <a:solidFill>
                <a:schemeClr val="tx1">
                  <a:lumMod val="15000"/>
                  <a:lumOff val="85000"/>
                </a:schemeClr>
              </a:solidFill>
              <a:round/>
            </a:ln>
            <a:effectLst/>
          </c:spPr>
        </c:majorGridlines>
        <c:title>
          <c:tx>
            <c:strRef>
              <c:f>'2.Visualizing with SIZE'!$H$22</c:f>
              <c:strCache>
                <c:ptCount val="1"/>
                <c:pt idx="0">
                  <c:v>Payload mass (kg)</c:v>
                </c:pt>
              </c:strCache>
            </c:strRef>
          </c:tx>
          <c:overlay val="0"/>
          <c:spPr>
            <a:noFill/>
            <a:ln>
              <a:noFill/>
            </a:ln>
            <a:effectLst/>
          </c:spPr>
          <c:txPr>
            <a:bodyPr rot="-5400000" spcFirstLastPara="1" vertOverflow="ellipsis" vert="horz" wrap="square" anchor="ctr" anchorCtr="1"/>
            <a:lstStyle/>
            <a:p>
              <a:pPr>
                <a:defRPr sz="115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50" b="0" i="0" u="none" strike="noStrike" kern="1200" baseline="0">
                <a:solidFill>
                  <a:schemeClr val="tx1"/>
                </a:solidFill>
                <a:latin typeface="+mn-lt"/>
                <a:ea typeface="+mn-ea"/>
                <a:cs typeface="+mn-cs"/>
              </a:defRPr>
            </a:pPr>
            <a:endParaRPr lang="en-US"/>
          </a:p>
        </c:txPr>
        <c:crossAx val="593110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5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col"/>
        <c:grouping val="percentStack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7-46B0-4E94-988C-D56C82E2BB1A}"/>
              </c:ext>
            </c:extLst>
          </c:dPt>
          <c:val>
            <c:numRef>
              <c:f>'Tab1 Backend'!$N$13</c:f>
              <c:numCache>
                <c:formatCode>General</c:formatCode>
                <c:ptCount val="1"/>
                <c:pt idx="0">
                  <c:v>0</c:v>
                </c:pt>
              </c:numCache>
            </c:numRef>
          </c:val>
          <c:extLst>
            <c:ext xmlns:c16="http://schemas.microsoft.com/office/drawing/2014/chart" uri="{C3380CC4-5D6E-409C-BE32-E72D297353CC}">
              <c16:uniqueId val="{00000005-46B0-4E94-988C-D56C82E2BB1A}"/>
            </c:ext>
          </c:extLst>
        </c:ser>
        <c:ser>
          <c:idx val="1"/>
          <c:order val="1"/>
          <c:spPr>
            <a:solidFill>
              <a:schemeClr val="bg1">
                <a:alpha val="0"/>
              </a:schemeClr>
            </a:solidFill>
            <a:ln>
              <a:noFill/>
            </a:ln>
            <a:effectLst/>
          </c:spPr>
          <c:invertIfNegative val="0"/>
          <c:val>
            <c:numRef>
              <c:f>'Tab1 Backend'!$N$14</c:f>
              <c:numCache>
                <c:formatCode>General</c:formatCode>
                <c:ptCount val="1"/>
                <c:pt idx="0">
                  <c:v>1</c:v>
                </c:pt>
              </c:numCache>
            </c:numRef>
          </c:val>
          <c:extLst>
            <c:ext xmlns:c16="http://schemas.microsoft.com/office/drawing/2014/chart" uri="{C3380CC4-5D6E-409C-BE32-E72D297353CC}">
              <c16:uniqueId val="{00000006-46B0-4E94-988C-D56C82E2BB1A}"/>
            </c:ext>
          </c:extLst>
        </c:ser>
        <c:dLbls>
          <c:showLegendKey val="0"/>
          <c:showVal val="0"/>
          <c:showCatName val="0"/>
          <c:showSerName val="0"/>
          <c:showPercent val="0"/>
          <c:showBubbleSize val="0"/>
        </c:dLbls>
        <c:gapWidth val="0"/>
        <c:overlap val="100"/>
        <c:axId val="205982288"/>
        <c:axId val="2037422640"/>
      </c:barChart>
      <c:catAx>
        <c:axId val="205982288"/>
        <c:scaling>
          <c:orientation val="minMax"/>
        </c:scaling>
        <c:delete val="1"/>
        <c:axPos val="b"/>
        <c:majorTickMark val="none"/>
        <c:minorTickMark val="none"/>
        <c:tickLblPos val="nextTo"/>
        <c:crossAx val="2037422640"/>
        <c:crosses val="autoZero"/>
        <c:auto val="1"/>
        <c:lblAlgn val="ctr"/>
        <c:lblOffset val="100"/>
        <c:noMultiLvlLbl val="0"/>
      </c:catAx>
      <c:valAx>
        <c:axId val="2037422640"/>
        <c:scaling>
          <c:orientation val="minMax"/>
        </c:scaling>
        <c:delete val="1"/>
        <c:axPos val="l"/>
        <c:numFmt formatCode="0%" sourceLinked="1"/>
        <c:majorTickMark val="none"/>
        <c:minorTickMark val="none"/>
        <c:tickLblPos val="nextTo"/>
        <c:crossAx val="20598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tx>
            <c:strRef>
              <c:f>Badge!$K$13</c:f>
              <c:strCache>
                <c:ptCount val="1"/>
                <c:pt idx="0">
                  <c:v>CONGRATULATIONS!</c:v>
                </c:pt>
              </c:strCache>
            </c:strRef>
          </c:tx>
          <c:spPr>
            <a:blipFill>
              <a:blip xmlns:r="http://schemas.openxmlformats.org/officeDocument/2006/relationships" r:embed="rId3"/>
              <a:stretch>
                <a:fillRect/>
              </a:stretch>
            </a:blipFill>
            <a:ln>
              <a:noFill/>
            </a:ln>
            <a:effectLst/>
          </c:spPr>
          <c:invertIfNegative val="0"/>
          <c:val>
            <c:numRef>
              <c:f>Badge!$L$13</c:f>
              <c:numCache>
                <c:formatCode>General</c:formatCode>
                <c:ptCount val="1"/>
                <c:pt idx="0">
                  <c:v>0</c:v>
                </c:pt>
              </c:numCache>
            </c:numRef>
          </c:val>
          <c:extLst>
            <c:ext xmlns:c16="http://schemas.microsoft.com/office/drawing/2014/chart" uri="{C3380CC4-5D6E-409C-BE32-E72D297353CC}">
              <c16:uniqueId val="{00000000-9E4E-4ABE-ADAA-02BBE7C3C043}"/>
            </c:ext>
          </c:extLst>
        </c:ser>
        <c:ser>
          <c:idx val="1"/>
          <c:order val="1"/>
          <c:tx>
            <c:strRef>
              <c:f>Badge!$K$14</c:f>
              <c:strCache>
                <c:ptCount val="1"/>
                <c:pt idx="0">
                  <c:v>Keep answering questions!</c:v>
                </c:pt>
              </c:strCache>
            </c:strRef>
          </c:tx>
          <c:spPr>
            <a:solidFill>
              <a:schemeClr val="accent2"/>
            </a:solid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9E4E-4ABE-ADAA-02BBE7C3C043}"/>
              </c:ext>
            </c:extLst>
          </c:dPt>
          <c:val>
            <c:numRef>
              <c:f>Badge!$L$14</c:f>
              <c:numCache>
                <c:formatCode>General</c:formatCode>
                <c:ptCount val="1"/>
                <c:pt idx="0">
                  <c:v>1</c:v>
                </c:pt>
              </c:numCache>
            </c:numRef>
          </c:val>
          <c:extLst>
            <c:ext xmlns:c16="http://schemas.microsoft.com/office/drawing/2014/chart" uri="{C3380CC4-5D6E-409C-BE32-E72D297353CC}">
              <c16:uniqueId val="{00000003-9E4E-4ABE-ADAA-02BBE7C3C043}"/>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sunburst" uniqueId="{3F51079C-C39C-4DCB-8840-008D753CB5DD}">
          <cx:tx>
            <cx:txData>
              <cx:f/>
              <cx:v>Mission Time (days)</cx:v>
            </cx:txData>
          </cx:tx>
          <cx:dataPt idx="0">
            <cx:spPr>
              <a:solidFill>
                <a:srgbClr val="8661C5"/>
              </a:solidFill>
            </cx:spPr>
          </cx:dataPt>
          <cx:dataPt idx="3">
            <cx:spPr>
              <a:solidFill>
                <a:srgbClr val="D83B01"/>
              </a:solidFill>
            </cx:spPr>
          </cx:dataPt>
          <cx:dataPt idx="7">
            <cx:spPr>
              <a:solidFill>
                <a:srgbClr val="0078D4"/>
              </a:solidFill>
            </cx:spPr>
          </cx:dataPt>
          <cx:dataPt idx="10">
            <cx:spPr>
              <a:solidFill>
                <a:srgbClr val="219653"/>
              </a:solidFill>
            </cx:spPr>
          </cx:dataPt>
          <cx:data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series>
      </cx:plotAreaRegion>
    </cx:plotArea>
    <cx:legend pos="t" align="ctr" overlay="0">
      <cx:txPr>
        <a:bodyPr spcFirstLastPara="1" vertOverflow="ellipsis" horzOverflow="overflow" wrap="square" lIns="0" tIns="0" rIns="0" bIns="0" anchor="ctr" anchorCtr="1"/>
        <a:lstStyle/>
        <a:p>
          <a:pPr algn="ctr" rtl="0">
            <a:defRPr sz="1200">
              <a:solidFill>
                <a:schemeClr val="tx1"/>
              </a:solidFill>
            </a:defRPr>
          </a:pPr>
          <a:endParaRPr lang="en-US" sz="1200" b="0" i="0" u="none" strike="noStrike" baseline="0">
            <a:solidFill>
              <a:schemeClr val="tx1"/>
            </a:solidFill>
            <a:latin typeface="Segoe UI"/>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3.png"/><Relationship Id="rId2" Type="http://schemas.openxmlformats.org/officeDocument/2006/relationships/image" Target="../media/image8.png"/><Relationship Id="rId1" Type="http://schemas.openxmlformats.org/officeDocument/2006/relationships/image" Target="../media/image12.png"/><Relationship Id="rId6" Type="http://schemas.openxmlformats.org/officeDocument/2006/relationships/image" Target="../media/image15.png"/><Relationship Id="rId5" Type="http://schemas.openxmlformats.org/officeDocument/2006/relationships/image" Target="../media/image22.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 Target="../charts/chart9.xml"/><Relationship Id="rId2" Type="http://schemas.openxmlformats.org/officeDocument/2006/relationships/chart" Target="../charts/chart7.xml"/><Relationship Id="rId1" Type="http://schemas.openxmlformats.org/officeDocument/2006/relationships/image" Target="../media/image10.png"/><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0.png"/><Relationship Id="rId5" Type="http://schemas.openxmlformats.org/officeDocument/2006/relationships/chart" Target="../charts/chart12.xml"/><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0.png"/><Relationship Id="rId6" Type="http://schemas.openxmlformats.org/officeDocument/2006/relationships/chart" Target="../charts/chart16.xml"/><Relationship Id="rId5" Type="http://schemas.openxmlformats.org/officeDocument/2006/relationships/image" Target="../media/image8.png"/><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17.xml"/><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image" Target="../media/image10.png"/><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10</xdr:col>
      <xdr:colOff>706624</xdr:colOff>
      <xdr:row>0</xdr:row>
      <xdr:rowOff>0</xdr:rowOff>
    </xdr:from>
    <xdr:to>
      <xdr:col>22</xdr:col>
      <xdr:colOff>172100</xdr:colOff>
      <xdr:row>25</xdr:row>
      <xdr:rowOff>216711</xdr:rowOff>
    </xdr:to>
    <xdr:pic>
      <xdr:nvPicPr>
        <xdr:cNvPr id="2" name="Astronaut" descr="NASA astronaut on a spacewalk">
          <a:extLst>
            <a:ext uri="{FF2B5EF4-FFF2-40B4-BE49-F238E27FC236}">
              <a16:creationId xmlns:a16="http://schemas.microsoft.com/office/drawing/2014/main" id="{9998D3FF-E951-48B9-9908-279B0A454B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512" r="2056"/>
        <a:stretch/>
      </xdr:blipFill>
      <xdr:spPr>
        <a:xfrm>
          <a:off x="8355932" y="0"/>
          <a:ext cx="7999876" cy="61857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476249</xdr:colOff>
      <xdr:row>1</xdr:row>
      <xdr:rowOff>0</xdr:rowOff>
    </xdr:from>
    <xdr:to>
      <xdr:col>18</xdr:col>
      <xdr:colOff>238124</xdr:colOff>
      <xdr:row>11</xdr:row>
      <xdr:rowOff>0</xdr:rowOff>
    </xdr:to>
    <xdr:graphicFrame macro="">
      <xdr:nvGraphicFramePr>
        <xdr:cNvPr id="3" name="Chart 2">
          <a:extLst>
            <a:ext uri="{FF2B5EF4-FFF2-40B4-BE49-F238E27FC236}">
              <a16:creationId xmlns:a16="http://schemas.microsoft.com/office/drawing/2014/main" id="{75DD2997-FC4B-4B7F-A9D0-9C4901366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3</xdr:col>
      <xdr:colOff>304800</xdr:colOff>
      <xdr:row>8</xdr:row>
      <xdr:rowOff>63012</xdr:rowOff>
    </xdr:to>
    <xdr:sp macro="" textlink="">
      <xdr:nvSpPr>
        <xdr:cNvPr id="2" name="AutoShape 1" descr="SENO POSTCARDS TO SPACE &#10;&quot;Hi, I'm Nick Patrick. After my as a NASA astronaut, I came to Blue Origin to work as a Human &#10;Integration Architect, which means I help develop systems that will be used some day when &#10;millions of people living and working in space to benefit Earth.&quot; &#10;a NEW SHEPARD &#10;Named after Alan Shepard. 'he first American in spfte, &#10;this is Origins fully Suborbital rocket System &#10;designed to take astronauts and research payloads past &#10;the Kårmån line, 'he internationally recognized boundary &#10;of space, and back to Earth. &#10;BLUE MOON • &#10;NEW GLENN &#10;Named offer John Glenn, the firs' Americm to orbit Earth. &#10;New Glenn is Origins heavy lift &#10;fcy routinely to Earth &#10;orbit m d beyond &#10;Blue Origiris lunar lander wal deliver large payloads to the lunar surface 'Mid is also capable of deploying payloads during &#10;its journey to the Its precision guidance, and vertical and build New ">
          <a:extLst>
            <a:ext uri="{FF2B5EF4-FFF2-40B4-BE49-F238E27FC236}">
              <a16:creationId xmlns:a16="http://schemas.microsoft.com/office/drawing/2014/main" id="{962043F0-3C25-46EE-9CF8-A67B82558F13}"/>
            </a:ext>
          </a:extLst>
        </xdr:cNvPr>
        <xdr:cNvSpPr>
          <a:spLocks noChangeAspect="1" noChangeArrowheads="1"/>
        </xdr:cNvSpPr>
      </xdr:nvSpPr>
      <xdr:spPr bwMode="auto">
        <a:xfrm>
          <a:off x="409575" y="1619250"/>
          <a:ext cx="304800" cy="3011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11</xdr:col>
      <xdr:colOff>1247775</xdr:colOff>
      <xdr:row>19</xdr:row>
      <xdr:rowOff>78399</xdr:rowOff>
    </xdr:to>
    <xdr:pic>
      <xdr:nvPicPr>
        <xdr:cNvPr id="3" name="Picture 2" descr="Send postcards to space with Club for the Future. Visit https://www.clubforfuture.org/ for more information.">
          <a:extLst>
            <a:ext uri="{FF2B5EF4-FFF2-40B4-BE49-F238E27FC236}">
              <a16:creationId xmlns:a16="http://schemas.microsoft.com/office/drawing/2014/main" id="{FDEB841D-58D0-4341-B6F3-884DFAFDA7C4}"/>
            </a:ext>
            <a:ext uri="{147F2762-F138-4A5C-976F-8EAC2B608ADB}">
              <a16:predDERef xmlns:a16="http://schemas.microsoft.com/office/drawing/2014/main" pred="{B1071186-C822-4927-B78B-A997BEDA8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666750"/>
          <a:ext cx="7600950" cy="3869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6</xdr:col>
      <xdr:colOff>256442</xdr:colOff>
      <xdr:row>2</xdr:row>
      <xdr:rowOff>58615</xdr:rowOff>
    </xdr:from>
    <xdr:ext cx="850196" cy="1150327"/>
    <xdr:pic>
      <xdr:nvPicPr>
        <xdr:cNvPr id="2" name="Picture 31" descr="Rocket blasting off from Earth, symbolizing launches">
          <a:extLst>
            <a:ext uri="{FF2B5EF4-FFF2-40B4-BE49-F238E27FC236}">
              <a16:creationId xmlns:a16="http://schemas.microsoft.com/office/drawing/2014/main" id="{7F850FC9-1BCF-43E1-9F70-3F379D606B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2517" y="439615"/>
          <a:ext cx="850196" cy="1150327"/>
        </a:xfrm>
        <a:prstGeom prst="rect">
          <a:avLst/>
        </a:prstGeom>
      </xdr:spPr>
    </xdr:pic>
    <xdr:clientData/>
  </xdr:oneCellAnchor>
  <xdr:oneCellAnchor>
    <xdr:from>
      <xdr:col>5</xdr:col>
      <xdr:colOff>937702</xdr:colOff>
      <xdr:row>0</xdr:row>
      <xdr:rowOff>0</xdr:rowOff>
    </xdr:from>
    <xdr:ext cx="879231" cy="879231"/>
    <xdr:pic>
      <xdr:nvPicPr>
        <xdr:cNvPr id="3" name="Picture 2">
          <a:extLst>
            <a:ext uri="{FF2B5EF4-FFF2-40B4-BE49-F238E27FC236}">
              <a16:creationId xmlns:a16="http://schemas.microsoft.com/office/drawing/2014/main" id="{79BB9C74-E4B2-4A96-A0BF-B716F1C6BE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8777" y="0"/>
          <a:ext cx="879231" cy="879231"/>
        </a:xfrm>
        <a:prstGeom prst="rect">
          <a:avLst/>
        </a:prstGeom>
      </xdr:spPr>
    </xdr:pic>
    <xdr:clientData/>
  </xdr:oneCellAnchor>
  <xdr:oneCellAnchor>
    <xdr:from>
      <xdr:col>9</xdr:col>
      <xdr:colOff>169275</xdr:colOff>
      <xdr:row>1</xdr:row>
      <xdr:rowOff>140838</xdr:rowOff>
    </xdr:from>
    <xdr:ext cx="761994" cy="1142992"/>
    <xdr:pic>
      <xdr:nvPicPr>
        <xdr:cNvPr id="4" name="Picture 3">
          <a:extLst>
            <a:ext uri="{FF2B5EF4-FFF2-40B4-BE49-F238E27FC236}">
              <a16:creationId xmlns:a16="http://schemas.microsoft.com/office/drawing/2014/main" id="{E1BABFC2-800E-468F-929D-1859576DBD8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20377855">
          <a:off x="6484350" y="331338"/>
          <a:ext cx="761994" cy="1142992"/>
        </a:xfrm>
        <a:prstGeom prst="rect">
          <a:avLst/>
        </a:prstGeom>
      </xdr:spPr>
    </xdr:pic>
    <xdr:clientData/>
  </xdr:oneCellAnchor>
  <xdr:oneCellAnchor>
    <xdr:from>
      <xdr:col>10</xdr:col>
      <xdr:colOff>315059</xdr:colOff>
      <xdr:row>21</xdr:row>
      <xdr:rowOff>7326</xdr:rowOff>
    </xdr:from>
    <xdr:ext cx="814929" cy="1086573"/>
    <xdr:pic>
      <xdr:nvPicPr>
        <xdr:cNvPr id="5" name="Picture 4">
          <a:extLst>
            <a:ext uri="{FF2B5EF4-FFF2-40B4-BE49-F238E27FC236}">
              <a16:creationId xmlns:a16="http://schemas.microsoft.com/office/drawing/2014/main" id="{0B5334CA-0A08-4A19-8EBE-86AC636B71C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20634" y="3817326"/>
          <a:ext cx="814929" cy="1086573"/>
        </a:xfrm>
        <a:prstGeom prst="rect">
          <a:avLst/>
        </a:prstGeom>
      </xdr:spPr>
    </xdr:pic>
    <xdr:clientData/>
  </xdr:oneCellAnchor>
  <xdr:oneCellAnchor>
    <xdr:from>
      <xdr:col>10</xdr:col>
      <xdr:colOff>139209</xdr:colOff>
      <xdr:row>11</xdr:row>
      <xdr:rowOff>190502</xdr:rowOff>
    </xdr:from>
    <xdr:ext cx="835269" cy="556846"/>
    <xdr:pic>
      <xdr:nvPicPr>
        <xdr:cNvPr id="6" name="Picture 5">
          <a:extLst>
            <a:ext uri="{FF2B5EF4-FFF2-40B4-BE49-F238E27FC236}">
              <a16:creationId xmlns:a16="http://schemas.microsoft.com/office/drawing/2014/main" id="{1585C12D-579F-419B-82CD-3DCE0E0AD4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3936926">
          <a:off x="6783996" y="1956290"/>
          <a:ext cx="556846" cy="835269"/>
        </a:xfrm>
        <a:prstGeom prst="rect">
          <a:avLst/>
        </a:prstGeom>
      </xdr:spPr>
    </xdr:pic>
    <xdr:clientData/>
  </xdr:oneCellAnchor>
  <xdr:oneCellAnchor>
    <xdr:from>
      <xdr:col>10</xdr:col>
      <xdr:colOff>107882</xdr:colOff>
      <xdr:row>39</xdr:row>
      <xdr:rowOff>102576</xdr:rowOff>
    </xdr:from>
    <xdr:ext cx="1005620" cy="1340827"/>
    <xdr:pic>
      <xdr:nvPicPr>
        <xdr:cNvPr id="9" name="Picture 6">
          <a:extLst>
            <a:ext uri="{FF2B5EF4-FFF2-40B4-BE49-F238E27FC236}">
              <a16:creationId xmlns:a16="http://schemas.microsoft.com/office/drawing/2014/main" id="{5A0D0D38-BA35-45A9-9A52-8D78F6E5AEA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13457" y="7341576"/>
          <a:ext cx="1005620" cy="1340827"/>
        </a:xfrm>
        <a:prstGeom prst="rect">
          <a:avLst/>
        </a:prstGeom>
      </xdr:spPr>
    </xdr:pic>
    <xdr:clientData/>
  </xdr:oneCellAnchor>
  <xdr:oneCellAnchor>
    <xdr:from>
      <xdr:col>10</xdr:col>
      <xdr:colOff>337038</xdr:colOff>
      <xdr:row>54</xdr:row>
      <xdr:rowOff>43962</xdr:rowOff>
    </xdr:from>
    <xdr:ext cx="761994" cy="1142992"/>
    <xdr:pic>
      <xdr:nvPicPr>
        <xdr:cNvPr id="10" name="Picture 7">
          <a:extLst>
            <a:ext uri="{FF2B5EF4-FFF2-40B4-BE49-F238E27FC236}">
              <a16:creationId xmlns:a16="http://schemas.microsoft.com/office/drawing/2014/main" id="{75EC19E4-9803-41BE-ACE1-936BE92CD8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20515050">
          <a:off x="6842613" y="10140462"/>
          <a:ext cx="761994" cy="114299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468923</xdr:colOff>
      <xdr:row>9</xdr:row>
      <xdr:rowOff>80597</xdr:rowOff>
    </xdr:from>
    <xdr:to>
      <xdr:col>13</xdr:col>
      <xdr:colOff>512884</xdr:colOff>
      <xdr:row>12</xdr:row>
      <xdr:rowOff>80597</xdr:rowOff>
    </xdr:to>
    <xdr:sp macro="" textlink="">
      <xdr:nvSpPr>
        <xdr:cNvPr id="2" name="Rectangle 22">
          <a:extLst>
            <a:ext uri="{FF2B5EF4-FFF2-40B4-BE49-F238E27FC236}">
              <a16:creationId xmlns:a16="http://schemas.microsoft.com/office/drawing/2014/main" id="{BAFDA8FB-FFCC-4F23-BB1B-57C81D239DE2}"/>
            </a:ext>
            <a:ext uri="{C183D7F6-B498-43B3-948B-1728B52AA6E4}">
              <adec:decorative xmlns:adec="http://schemas.microsoft.com/office/drawing/2017/decorative" val="1"/>
            </a:ext>
          </a:extLst>
        </xdr:cNvPr>
        <xdr:cNvSpPr/>
      </xdr:nvSpPr>
      <xdr:spPr>
        <a:xfrm>
          <a:off x="9060473" y="1966547"/>
          <a:ext cx="3472961" cy="62865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620486</xdr:colOff>
      <xdr:row>9</xdr:row>
      <xdr:rowOff>87086</xdr:rowOff>
    </xdr:from>
    <xdr:to>
      <xdr:col>10</xdr:col>
      <xdr:colOff>277586</xdr:colOff>
      <xdr:row>11</xdr:row>
      <xdr:rowOff>97973</xdr:rowOff>
    </xdr:to>
    <xdr:grpSp>
      <xdr:nvGrpSpPr>
        <xdr:cNvPr id="3" name="Group 12">
          <a:extLst>
            <a:ext uri="{FF2B5EF4-FFF2-40B4-BE49-F238E27FC236}">
              <a16:creationId xmlns:a16="http://schemas.microsoft.com/office/drawing/2014/main" id="{4C43B51D-5CB4-408A-B492-350CCFD6C8BF}"/>
            </a:ext>
            <a:ext uri="{C183D7F6-B498-43B3-948B-1728B52AA6E4}">
              <adec:decorative xmlns:adec="http://schemas.microsoft.com/office/drawing/2017/decorative" val="1"/>
            </a:ext>
          </a:extLst>
        </xdr:cNvPr>
        <xdr:cNvGrpSpPr/>
      </xdr:nvGrpSpPr>
      <xdr:grpSpPr>
        <a:xfrm>
          <a:off x="11126561" y="1944461"/>
          <a:ext cx="609600" cy="582387"/>
          <a:chOff x="7565571" y="3782786"/>
          <a:chExt cx="609600" cy="587830"/>
        </a:xfrm>
      </xdr:grpSpPr>
      <xdr:sp macro="" textlink="">
        <xdr:nvSpPr>
          <xdr:cNvPr id="4" name="Rectangle 7">
            <a:extLst>
              <a:ext uri="{FF2B5EF4-FFF2-40B4-BE49-F238E27FC236}">
                <a16:creationId xmlns:a16="http://schemas.microsoft.com/office/drawing/2014/main" id="{7B33B583-F5A4-47BB-9570-6B163826D4D4}"/>
              </a:ext>
            </a:extLst>
          </xdr:cNvPr>
          <xdr:cNvSpPr/>
        </xdr:nvSpPr>
        <xdr:spPr>
          <a:xfrm>
            <a:off x="7565571" y="4054930"/>
            <a:ext cx="566057" cy="315686"/>
          </a:xfrm>
          <a:prstGeom prst="rect">
            <a:avLst/>
          </a:prstGeom>
          <a:solidFill>
            <a:srgbClr val="E7F7FF"/>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Arrow: Left 8">
            <a:extLst>
              <a:ext uri="{FF2B5EF4-FFF2-40B4-BE49-F238E27FC236}">
                <a16:creationId xmlns:a16="http://schemas.microsoft.com/office/drawing/2014/main" id="{EA9758DA-DFD4-422D-A566-C51BC1B852CB}"/>
              </a:ext>
            </a:extLst>
          </xdr:cNvPr>
          <xdr:cNvSpPr/>
        </xdr:nvSpPr>
        <xdr:spPr>
          <a:xfrm rot="18588603">
            <a:off x="7864928" y="3853543"/>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457202</xdr:colOff>
      <xdr:row>10</xdr:row>
      <xdr:rowOff>59874</xdr:rowOff>
    </xdr:from>
    <xdr:to>
      <xdr:col>11</xdr:col>
      <xdr:colOff>598717</xdr:colOff>
      <xdr:row>11</xdr:row>
      <xdr:rowOff>130629</xdr:rowOff>
    </xdr:to>
    <xdr:grpSp>
      <xdr:nvGrpSpPr>
        <xdr:cNvPr id="6" name="Group 11">
          <a:extLst>
            <a:ext uri="{FF2B5EF4-FFF2-40B4-BE49-F238E27FC236}">
              <a16:creationId xmlns:a16="http://schemas.microsoft.com/office/drawing/2014/main" id="{DE8D8502-CD99-45C9-B73F-E5836CA05231}"/>
            </a:ext>
            <a:ext uri="{C183D7F6-B498-43B3-948B-1728B52AA6E4}">
              <adec:decorative xmlns:adec="http://schemas.microsoft.com/office/drawing/2017/decorative" val="1"/>
            </a:ext>
          </a:extLst>
        </xdr:cNvPr>
        <xdr:cNvGrpSpPr/>
      </xdr:nvGrpSpPr>
      <xdr:grpSpPr>
        <a:xfrm>
          <a:off x="11915777" y="2202999"/>
          <a:ext cx="951140" cy="356505"/>
          <a:chOff x="9759043" y="4218216"/>
          <a:chExt cx="1094015" cy="359227"/>
        </a:xfrm>
      </xdr:grpSpPr>
      <xdr:grpSp>
        <xdr:nvGrpSpPr>
          <xdr:cNvPr id="7" name="Group 10">
            <a:extLst>
              <a:ext uri="{FF2B5EF4-FFF2-40B4-BE49-F238E27FC236}">
                <a16:creationId xmlns:a16="http://schemas.microsoft.com/office/drawing/2014/main" id="{7714A477-CD67-4F2C-888D-898A6CD8A818}"/>
              </a:ext>
            </a:extLst>
          </xdr:cNvPr>
          <xdr:cNvGrpSpPr/>
        </xdr:nvGrpSpPr>
        <xdr:grpSpPr>
          <a:xfrm>
            <a:off x="10325100" y="4337957"/>
            <a:ext cx="527958" cy="239486"/>
            <a:chOff x="10325100" y="4337957"/>
            <a:chExt cx="527958" cy="239486"/>
          </a:xfrm>
        </xdr:grpSpPr>
        <xdr:sp macro="" textlink="">
          <xdr:nvSpPr>
            <xdr:cNvPr id="9" name="Rectangle 5">
              <a:extLst>
                <a:ext uri="{FF2B5EF4-FFF2-40B4-BE49-F238E27FC236}">
                  <a16:creationId xmlns:a16="http://schemas.microsoft.com/office/drawing/2014/main" id="{C69DF8A5-BCC2-4AE1-A72F-9AB26B39AF08}"/>
                </a:ext>
              </a:extLst>
            </xdr:cNvPr>
            <xdr:cNvSpPr/>
          </xdr:nvSpPr>
          <xdr:spPr>
            <a:xfrm>
              <a:off x="10325100" y="4354286"/>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Isosceles Triangle 6">
              <a:extLst>
                <a:ext uri="{FF2B5EF4-FFF2-40B4-BE49-F238E27FC236}">
                  <a16:creationId xmlns:a16="http://schemas.microsoft.com/office/drawing/2014/main" id="{FDD58A30-C0BB-43F5-9D10-80E0DEB8C3EF}"/>
                </a:ext>
              </a:extLst>
            </xdr:cNvPr>
            <xdr:cNvSpPr/>
          </xdr:nvSpPr>
          <xdr:spPr>
            <a:xfrm rot="10800000">
              <a:off x="10368643" y="4428308"/>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Arrow: Left 4">
              <a:extLst>
                <a:ext uri="{FF2B5EF4-FFF2-40B4-BE49-F238E27FC236}">
                  <a16:creationId xmlns:a16="http://schemas.microsoft.com/office/drawing/2014/main" id="{F5B82780-30F4-4412-8C35-70800BB6220A}"/>
                </a:ext>
              </a:extLst>
            </xdr:cNvPr>
            <xdr:cNvSpPr/>
          </xdr:nvSpPr>
          <xdr:spPr>
            <a:xfrm>
              <a:off x="10472058" y="4337957"/>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8" name="Rectangle 9">
            <a:extLst>
              <a:ext uri="{FF2B5EF4-FFF2-40B4-BE49-F238E27FC236}">
                <a16:creationId xmlns:a16="http://schemas.microsoft.com/office/drawing/2014/main" id="{F63E9AFA-5425-4192-B3CA-AB1DE9BFBE23}"/>
              </a:ext>
            </a:extLst>
          </xdr:cNvPr>
          <xdr:cNvSpPr/>
        </xdr:nvSpPr>
        <xdr:spPr>
          <a:xfrm>
            <a:off x="9759043" y="4218216"/>
            <a:ext cx="566057" cy="315686"/>
          </a:xfrm>
          <a:prstGeom prst="rect">
            <a:avLst/>
          </a:prstGeom>
          <a:solidFill>
            <a:srgbClr val="E7F7FF"/>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12</xdr:col>
      <xdr:colOff>103414</xdr:colOff>
      <xdr:row>10</xdr:row>
      <xdr:rowOff>54428</xdr:rowOff>
    </xdr:from>
    <xdr:to>
      <xdr:col>13</xdr:col>
      <xdr:colOff>250372</xdr:colOff>
      <xdr:row>12</xdr:row>
      <xdr:rowOff>43540</xdr:rowOff>
    </xdr:to>
    <xdr:grpSp>
      <xdr:nvGrpSpPr>
        <xdr:cNvPr id="12" name="Group 21">
          <a:extLst>
            <a:ext uri="{FF2B5EF4-FFF2-40B4-BE49-F238E27FC236}">
              <a16:creationId xmlns:a16="http://schemas.microsoft.com/office/drawing/2014/main" id="{5E0B1273-8073-43DB-A01C-5B8D5F99E9C5}"/>
            </a:ext>
            <a:ext uri="{C183D7F6-B498-43B3-948B-1728B52AA6E4}">
              <adec:decorative xmlns:adec="http://schemas.microsoft.com/office/drawing/2017/decorative" val="1"/>
            </a:ext>
          </a:extLst>
        </xdr:cNvPr>
        <xdr:cNvGrpSpPr/>
      </xdr:nvGrpSpPr>
      <xdr:grpSpPr>
        <a:xfrm>
          <a:off x="12971689" y="2197553"/>
          <a:ext cx="575583" cy="560612"/>
          <a:chOff x="9459685" y="3929742"/>
          <a:chExt cx="908958" cy="566055"/>
        </a:xfrm>
      </xdr:grpSpPr>
      <xdr:sp macro="" textlink="">
        <xdr:nvSpPr>
          <xdr:cNvPr id="13" name="Rectangle 16">
            <a:extLst>
              <a:ext uri="{FF2B5EF4-FFF2-40B4-BE49-F238E27FC236}">
                <a16:creationId xmlns:a16="http://schemas.microsoft.com/office/drawing/2014/main" id="{54C976D0-38BE-4374-A5F9-9382C68010B1}"/>
              </a:ext>
            </a:extLst>
          </xdr:cNvPr>
          <xdr:cNvSpPr/>
        </xdr:nvSpPr>
        <xdr:spPr>
          <a:xfrm>
            <a:off x="10025742" y="4065812"/>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Isosceles Triangle 17">
            <a:extLst>
              <a:ext uri="{FF2B5EF4-FFF2-40B4-BE49-F238E27FC236}">
                <a16:creationId xmlns:a16="http://schemas.microsoft.com/office/drawing/2014/main" id="{EC68741A-FF88-4F64-A4CE-D68D9D020EDC}"/>
              </a:ext>
            </a:extLst>
          </xdr:cNvPr>
          <xdr:cNvSpPr/>
        </xdr:nvSpPr>
        <xdr:spPr>
          <a:xfrm rot="10800000">
            <a:off x="10069285" y="4139834"/>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ctangle 14">
            <a:extLst>
              <a:ext uri="{FF2B5EF4-FFF2-40B4-BE49-F238E27FC236}">
                <a16:creationId xmlns:a16="http://schemas.microsoft.com/office/drawing/2014/main" id="{FF4D9ABB-B5F6-4850-AF16-6CF227DA93C2}"/>
              </a:ext>
            </a:extLst>
          </xdr:cNvPr>
          <xdr:cNvSpPr/>
        </xdr:nvSpPr>
        <xdr:spPr>
          <a:xfrm>
            <a:off x="9459685" y="3929742"/>
            <a:ext cx="566057" cy="315686"/>
          </a:xfrm>
          <a:prstGeom prst="rect">
            <a:avLst/>
          </a:prstGeom>
          <a:solidFill>
            <a:srgbClr val="E7F7FF"/>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9">
            <a:extLst>
              <a:ext uri="{FF2B5EF4-FFF2-40B4-BE49-F238E27FC236}">
                <a16:creationId xmlns:a16="http://schemas.microsoft.com/office/drawing/2014/main" id="{646D0564-3BD9-42A1-BFE8-B30E08539879}"/>
              </a:ext>
            </a:extLst>
          </xdr:cNvPr>
          <xdr:cNvSpPr/>
        </xdr:nvSpPr>
        <xdr:spPr>
          <a:xfrm>
            <a:off x="9459686" y="4245429"/>
            <a:ext cx="566057" cy="92528"/>
          </a:xfrm>
          <a:prstGeom prst="rect">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sp macro="" textlink="">
        <xdr:nvSpPr>
          <xdr:cNvPr id="17" name="Rectangle 20">
            <a:extLst>
              <a:ext uri="{FF2B5EF4-FFF2-40B4-BE49-F238E27FC236}">
                <a16:creationId xmlns:a16="http://schemas.microsoft.com/office/drawing/2014/main" id="{D9973E4A-79CE-45A2-B796-BF371E10BE7E}"/>
              </a:ext>
            </a:extLst>
          </xdr:cNvPr>
          <xdr:cNvSpPr/>
        </xdr:nvSpPr>
        <xdr:spPr>
          <a:xfrm>
            <a:off x="9459686" y="4332515"/>
            <a:ext cx="566057" cy="92528"/>
          </a:xfrm>
          <a:prstGeom prst="rect">
            <a:avLst/>
          </a:prstGeom>
          <a:solidFill>
            <a:schemeClr val="bg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v</a:t>
            </a:r>
          </a:p>
        </xdr:txBody>
      </xdr:sp>
      <xdr:sp macro="" textlink="">
        <xdr:nvSpPr>
          <xdr:cNvPr id="18" name="Arrow: Left 17">
            <a:extLst>
              <a:ext uri="{FF2B5EF4-FFF2-40B4-BE49-F238E27FC236}">
                <a16:creationId xmlns:a16="http://schemas.microsoft.com/office/drawing/2014/main" id="{123369D3-9D1F-447F-AF9B-55F9FA452758}"/>
              </a:ext>
            </a:extLst>
          </xdr:cNvPr>
          <xdr:cNvSpPr/>
        </xdr:nvSpPr>
        <xdr:spPr>
          <a:xfrm>
            <a:off x="9987643" y="4256311"/>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12</xdr:col>
      <xdr:colOff>256442</xdr:colOff>
      <xdr:row>13</xdr:row>
      <xdr:rowOff>131884</xdr:rowOff>
    </xdr:from>
    <xdr:ext cx="1420368" cy="1420368"/>
    <xdr:pic>
      <xdr:nvPicPr>
        <xdr:cNvPr id="217" name="Picture 18" descr="Space Data Badge - Astronaut in a space suit waving, with earth and the moon in the background.">
          <a:extLst>
            <a:ext uri="{FF2B5EF4-FFF2-40B4-BE49-F238E27FC236}">
              <a16:creationId xmlns:a16="http://schemas.microsoft.com/office/drawing/2014/main" id="{CC05209A-CAD5-4E8F-8142-FA84D4847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14992" y="2856034"/>
          <a:ext cx="1420368" cy="1420368"/>
        </a:xfrm>
        <a:prstGeom prst="rect">
          <a:avLst/>
        </a:prstGeom>
      </xdr:spPr>
    </xdr:pic>
    <xdr:clientData/>
  </xdr:oneCellAnchor>
  <xdr:oneCellAnchor>
    <xdr:from>
      <xdr:col>8</xdr:col>
      <xdr:colOff>34372</xdr:colOff>
      <xdr:row>15</xdr:row>
      <xdr:rowOff>137045</xdr:rowOff>
    </xdr:from>
    <xdr:ext cx="1447800" cy="293077"/>
    <xdr:pic>
      <xdr:nvPicPr>
        <xdr:cNvPr id="50" name="Picture 19" descr="&quot;Unsaved Changes&quot; warning to be ignored.&#10;">
          <a:extLst>
            <a:ext uri="{FF2B5EF4-FFF2-40B4-BE49-F238E27FC236}">
              <a16:creationId xmlns:a16="http://schemas.microsoft.com/office/drawing/2014/main" id="{6EB1080D-ABB6-439C-9D29-8696DAB38D0E}"/>
            </a:ext>
            <a:ext uri="{147F2762-F138-4A5C-976F-8EAC2B608ADB}">
              <a16:predDERef xmlns:a16="http://schemas.microsoft.com/office/drawing/2014/main" pred="{CC05209A-CAD5-4E8F-8142-FA84D4847A7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258" b="13695"/>
        <a:stretch/>
      </xdr:blipFill>
      <xdr:spPr bwMode="auto">
        <a:xfrm>
          <a:off x="8631720" y="3731697"/>
          <a:ext cx="1447800" cy="2930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14</xdr:col>
      <xdr:colOff>0</xdr:colOff>
      <xdr:row>14</xdr:row>
      <xdr:rowOff>0</xdr:rowOff>
    </xdr:from>
    <xdr:to>
      <xdr:col>16</xdr:col>
      <xdr:colOff>6723</xdr:colOff>
      <xdr:row>16</xdr:row>
      <xdr:rowOff>96371</xdr:rowOff>
    </xdr:to>
    <xdr:grpSp>
      <xdr:nvGrpSpPr>
        <xdr:cNvPr id="9" name="Group 8" descr="backend copy, not for use">
          <a:extLst>
            <a:ext uri="{FF2B5EF4-FFF2-40B4-BE49-F238E27FC236}">
              <a16:creationId xmlns:a16="http://schemas.microsoft.com/office/drawing/2014/main" id="{BF76C75D-295F-4E57-96A5-568A36E95EAC}"/>
            </a:ext>
          </a:extLst>
        </xdr:cNvPr>
        <xdr:cNvGrpSpPr/>
      </xdr:nvGrpSpPr>
      <xdr:grpSpPr>
        <a:xfrm>
          <a:off x="13401675" y="2933700"/>
          <a:ext cx="1378323" cy="515471"/>
          <a:chOff x="4336677" y="7653617"/>
          <a:chExt cx="1378323" cy="515471"/>
        </a:xfrm>
      </xdr:grpSpPr>
      <xdr:sp macro="" textlink="">
        <xdr:nvSpPr>
          <xdr:cNvPr id="10" name="Rectangle 1">
            <a:extLst>
              <a:ext uri="{FF2B5EF4-FFF2-40B4-BE49-F238E27FC236}">
                <a16:creationId xmlns:a16="http://schemas.microsoft.com/office/drawing/2014/main" id="{0D848B27-5616-45EE-ADD9-0E8D98F0E4CF}"/>
              </a:ext>
            </a:extLst>
          </xdr:cNvPr>
          <xdr:cNvSpPr/>
        </xdr:nvSpPr>
        <xdr:spPr>
          <a:xfrm>
            <a:off x="4336677" y="7653617"/>
            <a:ext cx="1378323" cy="515471"/>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 name="Group 11">
            <a:extLst>
              <a:ext uri="{FF2B5EF4-FFF2-40B4-BE49-F238E27FC236}">
                <a16:creationId xmlns:a16="http://schemas.microsoft.com/office/drawing/2014/main" id="{7BC650BB-5C5C-48B7-8060-AD1FA4685345}"/>
              </a:ext>
            </a:extLst>
          </xdr:cNvPr>
          <xdr:cNvGrpSpPr/>
        </xdr:nvGrpSpPr>
        <xdr:grpSpPr>
          <a:xfrm>
            <a:off x="4616824" y="7709647"/>
            <a:ext cx="925496" cy="359228"/>
            <a:chOff x="9759043" y="4218216"/>
            <a:chExt cx="925496" cy="359227"/>
          </a:xfrm>
        </xdr:grpSpPr>
        <xdr:sp macro="" textlink="">
          <xdr:nvSpPr>
            <xdr:cNvPr id="13" name="Rectangle 12">
              <a:extLst>
                <a:ext uri="{FF2B5EF4-FFF2-40B4-BE49-F238E27FC236}">
                  <a16:creationId xmlns:a16="http://schemas.microsoft.com/office/drawing/2014/main" id="{A2654BFA-3897-4132-953C-E26F4507EC6B}"/>
                </a:ext>
              </a:extLst>
            </xdr:cNvPr>
            <xdr:cNvSpPr/>
          </xdr:nvSpPr>
          <xdr:spPr>
            <a:xfrm>
              <a:off x="9759043" y="4218216"/>
              <a:ext cx="566057" cy="315686"/>
            </a:xfrm>
            <a:prstGeom prst="rect">
              <a:avLst/>
            </a:prstGeom>
            <a:solidFill>
              <a:schemeClr val="bg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4" name="Group 13">
              <a:extLst>
                <a:ext uri="{FF2B5EF4-FFF2-40B4-BE49-F238E27FC236}">
                  <a16:creationId xmlns:a16="http://schemas.microsoft.com/office/drawing/2014/main" id="{6DD5A6C7-0A8B-4612-8B34-F323544070F6}"/>
                </a:ext>
              </a:extLst>
            </xdr:cNvPr>
            <xdr:cNvGrpSpPr/>
          </xdr:nvGrpSpPr>
          <xdr:grpSpPr>
            <a:xfrm>
              <a:off x="10141926" y="4337957"/>
              <a:ext cx="542613" cy="239486"/>
              <a:chOff x="10141926" y="4337957"/>
              <a:chExt cx="542613" cy="239486"/>
            </a:xfrm>
          </xdr:grpSpPr>
          <xdr:sp macro="" textlink="">
            <xdr:nvSpPr>
              <xdr:cNvPr id="15" name="Rectangle 14">
                <a:extLst>
                  <a:ext uri="{FF2B5EF4-FFF2-40B4-BE49-F238E27FC236}">
                    <a16:creationId xmlns:a16="http://schemas.microsoft.com/office/drawing/2014/main" id="{90785CB4-7891-45C0-A60E-8E7B2EF0D119}"/>
                  </a:ext>
                </a:extLst>
              </xdr:cNvPr>
              <xdr:cNvSpPr/>
            </xdr:nvSpPr>
            <xdr:spPr>
              <a:xfrm>
                <a:off x="10141926" y="4354287"/>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Isosceles Triangle 15">
                <a:extLst>
                  <a:ext uri="{FF2B5EF4-FFF2-40B4-BE49-F238E27FC236}">
                    <a16:creationId xmlns:a16="http://schemas.microsoft.com/office/drawing/2014/main" id="{478FEA0E-7044-4BCB-9EB7-97F538B6AF18}"/>
                  </a:ext>
                </a:extLst>
              </xdr:cNvPr>
              <xdr:cNvSpPr/>
            </xdr:nvSpPr>
            <xdr:spPr>
              <a:xfrm rot="10800000">
                <a:off x="10185469" y="4428309"/>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Arrow: Left 16">
                <a:extLst>
                  <a:ext uri="{FF2B5EF4-FFF2-40B4-BE49-F238E27FC236}">
                    <a16:creationId xmlns:a16="http://schemas.microsoft.com/office/drawing/2014/main" id="{9A5D0B04-B283-49C1-8A25-3F3020DE08C0}"/>
                  </a:ext>
                </a:extLst>
              </xdr:cNvPr>
              <xdr:cNvSpPr/>
            </xdr:nvSpPr>
            <xdr:spPr>
              <a:xfrm>
                <a:off x="10303539" y="4337957"/>
                <a:ext cx="381000" cy="23948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11</xdr:row>
      <xdr:rowOff>0</xdr:rowOff>
    </xdr:from>
    <xdr:to>
      <xdr:col>12</xdr:col>
      <xdr:colOff>0</xdr:colOff>
      <xdr:row>21</xdr:row>
      <xdr:rowOff>0</xdr:rowOff>
    </xdr:to>
    <xdr:graphicFrame macro="">
      <xdr:nvGraphicFramePr>
        <xdr:cNvPr id="9" name="Stacked" descr="Stacked bar chart of proportions by rocket.">
          <a:extLst>
            <a:ext uri="{FF2B5EF4-FFF2-40B4-BE49-F238E27FC236}">
              <a16:creationId xmlns:a16="http://schemas.microsoft.com/office/drawing/2014/main" id="{5B28B82F-9689-41EB-9CD2-BF41B1EE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22</xdr:row>
      <xdr:rowOff>0</xdr:rowOff>
    </xdr:from>
    <xdr:to>
      <xdr:col>7</xdr:col>
      <xdr:colOff>1142999</xdr:colOff>
      <xdr:row>33</xdr:row>
      <xdr:rowOff>0</xdr:rowOff>
    </xdr:to>
    <xdr:graphicFrame macro="">
      <xdr:nvGraphicFramePr>
        <xdr:cNvPr id="21" name="Scatter" descr="Scatter chart of cost by year.">
          <a:extLst>
            <a:ext uri="{FF2B5EF4-FFF2-40B4-BE49-F238E27FC236}">
              <a16:creationId xmlns:a16="http://schemas.microsoft.com/office/drawing/2014/main" id="{3B7E3362-1FE3-4B7D-A889-987B9D152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190499</xdr:colOff>
      <xdr:row>22</xdr:row>
      <xdr:rowOff>0</xdr:rowOff>
    </xdr:from>
    <xdr:to>
      <xdr:col>12</xdr:col>
      <xdr:colOff>0</xdr:colOff>
      <xdr:row>33</xdr:row>
      <xdr:rowOff>0</xdr:rowOff>
    </xdr:to>
    <xdr:graphicFrame macro="">
      <xdr:nvGraphicFramePr>
        <xdr:cNvPr id="8" name="Area" descr="Stacked area chart of destinations over time.">
          <a:extLst>
            <a:ext uri="{FF2B5EF4-FFF2-40B4-BE49-F238E27FC236}">
              <a16:creationId xmlns:a16="http://schemas.microsoft.com/office/drawing/2014/main" id="{7E2468FE-8884-4DCD-B4CD-05CA99D9B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11</xdr:row>
      <xdr:rowOff>0</xdr:rowOff>
    </xdr:from>
    <xdr:to>
      <xdr:col>7</xdr:col>
      <xdr:colOff>1142999</xdr:colOff>
      <xdr:row>21</xdr:row>
      <xdr:rowOff>0</xdr:rowOff>
    </xdr:to>
    <xdr:graphicFrame macro="">
      <xdr:nvGraphicFramePr>
        <xdr:cNvPr id="2" name="Column" descr="Bar chart of value by rocket.">
          <a:extLst>
            <a:ext uri="{FF2B5EF4-FFF2-40B4-BE49-F238E27FC236}">
              <a16:creationId xmlns:a16="http://schemas.microsoft.com/office/drawing/2014/main" id="{C6CF9D6E-871A-4496-9AA9-59D455F70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xdr:row>
      <xdr:rowOff>0</xdr:rowOff>
    </xdr:from>
    <xdr:to>
      <xdr:col>13</xdr:col>
      <xdr:colOff>0</xdr:colOff>
      <xdr:row>34</xdr:row>
      <xdr:rowOff>168519</xdr:rowOff>
    </xdr:to>
    <xdr:graphicFrame macro="">
      <xdr:nvGraphicFramePr>
        <xdr:cNvPr id="18" name="ChartIntro" descr="This chart shows the appearances of four different charts - Column, Stacked Column, Scatter, and Area.">
          <a:extLst>
            <a:ext uri="{FF2B5EF4-FFF2-40B4-BE49-F238E27FC236}">
              <a16:creationId xmlns:a16="http://schemas.microsoft.com/office/drawing/2014/main" id="{5749ADCE-777D-43BA-810B-2B6DE98F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13</xdr:col>
      <xdr:colOff>152498</xdr:colOff>
      <xdr:row>17</xdr:row>
      <xdr:rowOff>122115</xdr:rowOff>
    </xdr:from>
    <xdr:ext cx="488244" cy="442058"/>
    <xdr:pic>
      <xdr:nvPicPr>
        <xdr:cNvPr id="3" name="Mag Glass">
          <a:extLst>
            <a:ext uri="{FF2B5EF4-FFF2-40B4-BE49-F238E27FC236}">
              <a16:creationId xmlns:a16="http://schemas.microsoft.com/office/drawing/2014/main" id="{1642AB63-9D8D-4287-A82B-8831B0F7AFA5}"/>
            </a:ext>
            <a:ext uri="{147F2762-F138-4A5C-976F-8EAC2B608ADB}">
              <a16:predDERef xmlns:a16="http://schemas.microsoft.com/office/drawing/2014/main" pred="{5749ADCE-777D-43BA-810B-2B6DE98F68E3}"/>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 t="10345" r="14941" b="12644"/>
        <a:stretch/>
      </xdr:blipFill>
      <xdr:spPr>
        <a:xfrm>
          <a:off x="9306023" y="2655765"/>
          <a:ext cx="488244" cy="442058"/>
        </a:xfrm>
        <a:prstGeom prst="rect">
          <a:avLst/>
        </a:prstGeom>
      </xdr:spPr>
    </xdr:pic>
    <xdr:clientData/>
  </xdr:oneCellAnchor>
  <xdr:twoCellAnchor>
    <xdr:from>
      <xdr:col>14</xdr:col>
      <xdr:colOff>7327</xdr:colOff>
      <xdr:row>28</xdr:row>
      <xdr:rowOff>0</xdr:rowOff>
    </xdr:from>
    <xdr:to>
      <xdr:col>24</xdr:col>
      <xdr:colOff>21981</xdr:colOff>
      <xdr:row>31</xdr:row>
      <xdr:rowOff>0</xdr:rowOff>
    </xdr:to>
    <xdr:graphicFrame macro="">
      <xdr:nvGraphicFramePr>
        <xdr:cNvPr id="20" name="Chart 19">
          <a:extLst>
            <a:ext uri="{FF2B5EF4-FFF2-40B4-BE49-F238E27FC236}">
              <a16:creationId xmlns:a16="http://schemas.microsoft.com/office/drawing/2014/main" id="{82B5F7D6-5BD2-4F09-A37E-E70DD394586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21</xdr:col>
      <xdr:colOff>80597</xdr:colOff>
      <xdr:row>30</xdr:row>
      <xdr:rowOff>14653</xdr:rowOff>
    </xdr:from>
    <xdr:to>
      <xdr:col>21</xdr:col>
      <xdr:colOff>720677</xdr:colOff>
      <xdr:row>34</xdr:row>
      <xdr:rowOff>141849</xdr:rowOff>
    </xdr:to>
    <xdr:pic>
      <xdr:nvPicPr>
        <xdr:cNvPr id="4" name="Picture 11">
          <a:extLst>
            <a:ext uri="{FF2B5EF4-FFF2-40B4-BE49-F238E27FC236}">
              <a16:creationId xmlns:a16="http://schemas.microsoft.com/office/drawing/2014/main" id="{8EE6FA69-1C0D-4D46-ACC9-9A012321702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35155" y="4813788"/>
          <a:ext cx="640080" cy="640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55860</xdr:colOff>
      <xdr:row>28</xdr:row>
      <xdr:rowOff>33997</xdr:rowOff>
    </xdr:from>
    <xdr:to>
      <xdr:col>18</xdr:col>
      <xdr:colOff>695940</xdr:colOff>
      <xdr:row>32</xdr:row>
      <xdr:rowOff>977</xdr:rowOff>
    </xdr:to>
    <xdr:pic>
      <xdr:nvPicPr>
        <xdr:cNvPr id="3" name="Picture 1">
          <a:extLst>
            <a:ext uri="{FF2B5EF4-FFF2-40B4-BE49-F238E27FC236}">
              <a16:creationId xmlns:a16="http://schemas.microsoft.com/office/drawing/2014/main" id="{3B5A819D-9C5B-44BC-9943-9B057ED177E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03091" y="4869766"/>
          <a:ext cx="640080" cy="640080"/>
        </a:xfrm>
        <a:prstGeom prst="rect">
          <a:avLst/>
        </a:prstGeom>
      </xdr:spPr>
    </xdr:pic>
    <xdr:clientData/>
  </xdr:twoCellAnchor>
  <xdr:twoCellAnchor>
    <xdr:from>
      <xdr:col>2</xdr:col>
      <xdr:colOff>0</xdr:colOff>
      <xdr:row>6</xdr:row>
      <xdr:rowOff>0</xdr:rowOff>
    </xdr:from>
    <xdr:to>
      <xdr:col>10</xdr:col>
      <xdr:colOff>0</xdr:colOff>
      <xdr:row>21</xdr:row>
      <xdr:rowOff>0</xdr:rowOff>
    </xdr:to>
    <xdr:graphicFrame macro="">
      <xdr:nvGraphicFramePr>
        <xdr:cNvPr id="21" name="Chart 2" descr="Bar chart of payload mass in kilograms for each rocket.">
          <a:extLst>
            <a:ext uri="{FF2B5EF4-FFF2-40B4-BE49-F238E27FC236}">
              <a16:creationId xmlns:a16="http://schemas.microsoft.com/office/drawing/2014/main" id="{1D375810-26B7-4E73-9AA1-2BBEA7E5F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358140</xdr:colOff>
      <xdr:row>21</xdr:row>
      <xdr:rowOff>152693</xdr:rowOff>
    </xdr:from>
    <xdr:to>
      <xdr:col>9</xdr:col>
      <xdr:colOff>0</xdr:colOff>
      <xdr:row>30</xdr:row>
      <xdr:rowOff>128953</xdr:rowOff>
    </xdr:to>
    <xdr:pic>
      <xdr:nvPicPr>
        <xdr:cNvPr id="6" name="Picture 4">
          <a:extLst>
            <a:ext uri="{FF2B5EF4-FFF2-40B4-BE49-F238E27FC236}">
              <a16:creationId xmlns:a16="http://schemas.microsoft.com/office/drawing/2014/main" id="{FD858A4D-4AFA-4E0A-8EBA-639D513346C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87640" y="3589020"/>
          <a:ext cx="1165860" cy="1554480"/>
        </a:xfrm>
        <a:prstGeom prst="rect">
          <a:avLst/>
        </a:prstGeom>
      </xdr:spPr>
    </xdr:pic>
    <xdr:clientData/>
  </xdr:twoCellAnchor>
  <xdr:twoCellAnchor editAs="oneCell">
    <xdr:from>
      <xdr:col>3</xdr:col>
      <xdr:colOff>490899</xdr:colOff>
      <xdr:row>21</xdr:row>
      <xdr:rowOff>152693</xdr:rowOff>
    </xdr:from>
    <xdr:to>
      <xdr:col>4</xdr:col>
      <xdr:colOff>704259</xdr:colOff>
      <xdr:row>30</xdr:row>
      <xdr:rowOff>128953</xdr:rowOff>
    </xdr:to>
    <xdr:pic>
      <xdr:nvPicPr>
        <xdr:cNvPr id="4" name="Picture 6">
          <a:extLst>
            <a:ext uri="{FF2B5EF4-FFF2-40B4-BE49-F238E27FC236}">
              <a16:creationId xmlns:a16="http://schemas.microsoft.com/office/drawing/2014/main" id="{683D9DDC-B418-480A-B7EF-F176158D9CF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1899" y="3589020"/>
          <a:ext cx="1165860" cy="1554480"/>
        </a:xfrm>
        <a:prstGeom prst="rect">
          <a:avLst/>
        </a:prstGeom>
      </xdr:spPr>
    </xdr:pic>
    <xdr:clientData/>
  </xdr:twoCellAnchor>
  <xdr:twoCellAnchor>
    <xdr:from>
      <xdr:col>18</xdr:col>
      <xdr:colOff>586154</xdr:colOff>
      <xdr:row>3</xdr:row>
      <xdr:rowOff>139212</xdr:rowOff>
    </xdr:from>
    <xdr:to>
      <xdr:col>19</xdr:col>
      <xdr:colOff>915865</xdr:colOff>
      <xdr:row>5</xdr:row>
      <xdr:rowOff>153866</xdr:rowOff>
    </xdr:to>
    <xdr:graphicFrame macro="">
      <xdr:nvGraphicFramePr>
        <xdr:cNvPr id="157" name="FilterButtonTip" descr="Visual instruction how to use filter button&#10;">
          <a:extLst>
            <a:ext uri="{FF2B5EF4-FFF2-40B4-BE49-F238E27FC236}">
              <a16:creationId xmlns:a16="http://schemas.microsoft.com/office/drawing/2014/main" id="{ED1FEBAD-80BF-4DDC-AF03-A6EE2994F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11</xdr:col>
      <xdr:colOff>61803</xdr:colOff>
      <xdr:row>16</xdr:row>
      <xdr:rowOff>15117</xdr:rowOff>
    </xdr:from>
    <xdr:ext cx="494794" cy="447989"/>
    <xdr:pic>
      <xdr:nvPicPr>
        <xdr:cNvPr id="30" name="Mag Glass">
          <a:extLst>
            <a:ext uri="{FF2B5EF4-FFF2-40B4-BE49-F238E27FC236}">
              <a16:creationId xmlns:a16="http://schemas.microsoft.com/office/drawing/2014/main" id="{387F0D6D-AEFF-4406-9011-A3CE7436CE47}"/>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 t="10345" r="14941" b="12644"/>
        <a:stretch/>
      </xdr:blipFill>
      <xdr:spPr>
        <a:xfrm>
          <a:off x="9397815" y="2751665"/>
          <a:ext cx="494794" cy="447989"/>
        </a:xfrm>
        <a:prstGeom prst="rect">
          <a:avLst/>
        </a:prstGeom>
      </xdr:spPr>
    </xdr:pic>
    <xdr:clientData/>
  </xdr:oneCellAnchor>
  <xdr:twoCellAnchor>
    <xdr:from>
      <xdr:col>11</xdr:col>
      <xdr:colOff>0</xdr:colOff>
      <xdr:row>25</xdr:row>
      <xdr:rowOff>168519</xdr:rowOff>
    </xdr:from>
    <xdr:to>
      <xdr:col>21</xdr:col>
      <xdr:colOff>14653</xdr:colOff>
      <xdr:row>28</xdr:row>
      <xdr:rowOff>168518</xdr:rowOff>
    </xdr:to>
    <xdr:graphicFrame macro="">
      <xdr:nvGraphicFramePr>
        <xdr:cNvPr id="9" name="Chart 8">
          <a:extLst>
            <a:ext uri="{FF2B5EF4-FFF2-40B4-BE49-F238E27FC236}">
              <a16:creationId xmlns:a16="http://schemas.microsoft.com/office/drawing/2014/main" id="{DE9A6F60-DA26-41E1-97B0-9C0F62B5C15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55860</xdr:colOff>
      <xdr:row>28</xdr:row>
      <xdr:rowOff>33997</xdr:rowOff>
    </xdr:from>
    <xdr:to>
      <xdr:col>18</xdr:col>
      <xdr:colOff>695940</xdr:colOff>
      <xdr:row>32</xdr:row>
      <xdr:rowOff>4417</xdr:rowOff>
    </xdr:to>
    <xdr:pic>
      <xdr:nvPicPr>
        <xdr:cNvPr id="7" name="Picture 1">
          <a:extLst>
            <a:ext uri="{FF2B5EF4-FFF2-40B4-BE49-F238E27FC236}">
              <a16:creationId xmlns:a16="http://schemas.microsoft.com/office/drawing/2014/main" id="{88FA8391-75BD-41EE-959C-D48D75135EA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00160" y="4948897"/>
          <a:ext cx="640080" cy="651803"/>
        </a:xfrm>
        <a:prstGeom prst="rect">
          <a:avLst/>
        </a:prstGeom>
      </xdr:spPr>
    </xdr:pic>
    <xdr:clientData/>
  </xdr:twoCellAnchor>
  <xdr:twoCellAnchor>
    <xdr:from>
      <xdr:col>2</xdr:col>
      <xdr:colOff>0</xdr:colOff>
      <xdr:row>5</xdr:row>
      <xdr:rowOff>165345</xdr:rowOff>
    </xdr:from>
    <xdr:to>
      <xdr:col>10</xdr:col>
      <xdr:colOff>0</xdr:colOff>
      <xdr:row>21</xdr:row>
      <xdr:rowOff>0</xdr:rowOff>
    </xdr:to>
    <xdr:graphicFrame macro="">
      <xdr:nvGraphicFramePr>
        <xdr:cNvPr id="3" name="Front chart" descr="Stacked bar chart comparing rocket payload, dry mass, and fuel, depending on activity.">
          <a:extLst>
            <a:ext uri="{FF2B5EF4-FFF2-40B4-BE49-F238E27FC236}">
              <a16:creationId xmlns:a16="http://schemas.microsoft.com/office/drawing/2014/main" id="{D91C1D11-B4FC-449C-A113-6563A69FF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xdr:row>
      <xdr:rowOff>0</xdr:rowOff>
    </xdr:from>
    <xdr:to>
      <xdr:col>6</xdr:col>
      <xdr:colOff>331304</xdr:colOff>
      <xdr:row>7</xdr:row>
      <xdr:rowOff>161192</xdr:rowOff>
    </xdr:to>
    <xdr:graphicFrame macro="">
      <xdr:nvGraphicFramePr>
        <xdr:cNvPr id="4" name="FilterButtonTip">
          <a:extLst>
            <a:ext uri="{FF2B5EF4-FFF2-40B4-BE49-F238E27FC236}">
              <a16:creationId xmlns:a16="http://schemas.microsoft.com/office/drawing/2014/main" id="{AE1D529B-6D60-4AC6-A9C5-8FEDB5DDC40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168519</xdr:colOff>
      <xdr:row>16</xdr:row>
      <xdr:rowOff>14654</xdr:rowOff>
    </xdr:from>
    <xdr:ext cx="542193" cy="490904"/>
    <xdr:pic>
      <xdr:nvPicPr>
        <xdr:cNvPr id="5" name="Mag Glass">
          <a:extLst>
            <a:ext uri="{FF2B5EF4-FFF2-40B4-BE49-F238E27FC236}">
              <a16:creationId xmlns:a16="http://schemas.microsoft.com/office/drawing/2014/main" id="{79870B22-3893-4DD4-85EB-9E4ECAEC0B25}"/>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t="10345" r="14941" b="12644"/>
        <a:stretch/>
      </xdr:blipFill>
      <xdr:spPr>
        <a:xfrm>
          <a:off x="9290538" y="2769577"/>
          <a:ext cx="542193" cy="490904"/>
        </a:xfrm>
        <a:prstGeom prst="rect">
          <a:avLst/>
        </a:prstGeom>
      </xdr:spPr>
    </xdr:pic>
    <xdr:clientData/>
  </xdr:oneCellAnchor>
  <xdr:twoCellAnchor>
    <xdr:from>
      <xdr:col>11</xdr:col>
      <xdr:colOff>0</xdr:colOff>
      <xdr:row>25</xdr:row>
      <xdr:rowOff>168519</xdr:rowOff>
    </xdr:from>
    <xdr:to>
      <xdr:col>21</xdr:col>
      <xdr:colOff>14653</xdr:colOff>
      <xdr:row>28</xdr:row>
      <xdr:rowOff>168518</xdr:rowOff>
    </xdr:to>
    <xdr:graphicFrame macro="">
      <xdr:nvGraphicFramePr>
        <xdr:cNvPr id="6" name="Chart 5">
          <a:extLst>
            <a:ext uri="{FF2B5EF4-FFF2-40B4-BE49-F238E27FC236}">
              <a16:creationId xmlns:a16="http://schemas.microsoft.com/office/drawing/2014/main" id="{782C7F6F-9D56-468D-8FB6-D413219CF84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114475</xdr:colOff>
      <xdr:row>28</xdr:row>
      <xdr:rowOff>41324</xdr:rowOff>
    </xdr:from>
    <xdr:to>
      <xdr:col>18</xdr:col>
      <xdr:colOff>754555</xdr:colOff>
      <xdr:row>32</xdr:row>
      <xdr:rowOff>4323</xdr:rowOff>
    </xdr:to>
    <xdr:pic>
      <xdr:nvPicPr>
        <xdr:cNvPr id="4" name="Picture 1">
          <a:extLst>
            <a:ext uri="{FF2B5EF4-FFF2-40B4-BE49-F238E27FC236}">
              <a16:creationId xmlns:a16="http://schemas.microsoft.com/office/drawing/2014/main" id="{30D6BEC7-ECD9-42ED-9B05-5827194D0C3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00513" y="4877093"/>
          <a:ext cx="640080" cy="640080"/>
        </a:xfrm>
        <a:prstGeom prst="rect">
          <a:avLst/>
        </a:prstGeom>
      </xdr:spPr>
    </xdr:pic>
    <xdr:clientData/>
  </xdr:twoCellAnchor>
  <xdr:twoCellAnchor>
    <xdr:from>
      <xdr:col>2</xdr:col>
      <xdr:colOff>0</xdr:colOff>
      <xdr:row>6</xdr:row>
      <xdr:rowOff>0</xdr:rowOff>
    </xdr:from>
    <xdr:to>
      <xdr:col>10</xdr:col>
      <xdr:colOff>0</xdr:colOff>
      <xdr:row>21</xdr:row>
      <xdr:rowOff>0</xdr:rowOff>
    </xdr:to>
    <xdr:graphicFrame macro="">
      <xdr:nvGraphicFramePr>
        <xdr:cNvPr id="6" name="Back">
          <a:extLst>
            <a:ext uri="{FF2B5EF4-FFF2-40B4-BE49-F238E27FC236}">
              <a16:creationId xmlns:a16="http://schemas.microsoft.com/office/drawing/2014/main" id="{8CB3D4AF-128B-4DC3-80B0-92E43FA96E9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xdr:row>
      <xdr:rowOff>153865</xdr:rowOff>
    </xdr:from>
    <xdr:to>
      <xdr:col>10</xdr:col>
      <xdr:colOff>0</xdr:colOff>
      <xdr:row>21</xdr:row>
      <xdr:rowOff>0</xdr:rowOff>
    </xdr:to>
    <xdr:graphicFrame macro="">
      <xdr:nvGraphicFramePr>
        <xdr:cNvPr id="7" name="Chart 4">
          <a:extLst>
            <a:ext uri="{FF2B5EF4-FFF2-40B4-BE49-F238E27FC236}">
              <a16:creationId xmlns:a16="http://schemas.microsoft.com/office/drawing/2014/main" id="{F1C24462-1EAD-49BB-A74B-9F666655FDF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6</xdr:row>
      <xdr:rowOff>0</xdr:rowOff>
    </xdr:from>
    <xdr:to>
      <xdr:col>10</xdr:col>
      <xdr:colOff>1</xdr:colOff>
      <xdr:row>20</xdr:row>
      <xdr:rowOff>168518</xdr:rowOff>
    </xdr:to>
    <xdr:graphicFrame macro="">
      <xdr:nvGraphicFramePr>
        <xdr:cNvPr id="3" name="Front" descr="Scatter plot comparing rocket efficiency">
          <a:extLst>
            <a:ext uri="{FF2B5EF4-FFF2-40B4-BE49-F238E27FC236}">
              <a16:creationId xmlns:a16="http://schemas.microsoft.com/office/drawing/2014/main" id="{27FD6CFA-6C37-4409-AB4A-59A11966CBE4}"/>
            </a:ext>
            <a:ext uri="{147F2762-F138-4A5C-976F-8EAC2B608ADB}">
              <a16:predDERef xmlns:a16="http://schemas.microsoft.com/office/drawing/2014/main" pred="{F1C24462-1EAD-49BB-A74B-9F666655F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1091713</xdr:colOff>
      <xdr:row>32</xdr:row>
      <xdr:rowOff>36635</xdr:rowOff>
    </xdr:from>
    <xdr:to>
      <xdr:col>9</xdr:col>
      <xdr:colOff>14655</xdr:colOff>
      <xdr:row>35</xdr:row>
      <xdr:rowOff>153865</xdr:rowOff>
    </xdr:to>
    <xdr:sp macro="" textlink="">
      <xdr:nvSpPr>
        <xdr:cNvPr id="9" name="Rectangle 7">
          <a:extLst>
            <a:ext uri="{FF2B5EF4-FFF2-40B4-BE49-F238E27FC236}">
              <a16:creationId xmlns:a16="http://schemas.microsoft.com/office/drawing/2014/main" id="{1B92D12A-4F0E-4807-9AE0-B387F884570D}"/>
            </a:ext>
            <a:ext uri="{C183D7F6-B498-43B3-948B-1728B52AA6E4}">
              <adec:decorative xmlns:adec="http://schemas.microsoft.com/office/drawing/2017/decorative" val="1"/>
            </a:ext>
          </a:extLst>
        </xdr:cNvPr>
        <xdr:cNvSpPr/>
      </xdr:nvSpPr>
      <xdr:spPr>
        <a:xfrm>
          <a:off x="2425213" y="5451231"/>
          <a:ext cx="6542942" cy="732692"/>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7327</xdr:colOff>
      <xdr:row>15</xdr:row>
      <xdr:rowOff>109904</xdr:rowOff>
    </xdr:from>
    <xdr:ext cx="542193" cy="490904"/>
    <xdr:pic>
      <xdr:nvPicPr>
        <xdr:cNvPr id="8" name="Mag Glass">
          <a:extLst>
            <a:ext uri="{FF2B5EF4-FFF2-40B4-BE49-F238E27FC236}">
              <a16:creationId xmlns:a16="http://schemas.microsoft.com/office/drawing/2014/main" id="{DC4F1B6E-2EE1-4EE9-B61B-BD818F11A86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t="10345" r="14941" b="12644"/>
        <a:stretch/>
      </xdr:blipFill>
      <xdr:spPr>
        <a:xfrm>
          <a:off x="9297865" y="2601058"/>
          <a:ext cx="542193" cy="490904"/>
        </a:xfrm>
        <a:prstGeom prst="rect">
          <a:avLst/>
        </a:prstGeom>
      </xdr:spPr>
    </xdr:pic>
    <xdr:clientData/>
  </xdr:oneCellAnchor>
  <xdr:twoCellAnchor>
    <xdr:from>
      <xdr:col>11</xdr:col>
      <xdr:colOff>0</xdr:colOff>
      <xdr:row>25</xdr:row>
      <xdr:rowOff>168519</xdr:rowOff>
    </xdr:from>
    <xdr:to>
      <xdr:col>21</xdr:col>
      <xdr:colOff>14653</xdr:colOff>
      <xdr:row>28</xdr:row>
      <xdr:rowOff>168518</xdr:rowOff>
    </xdr:to>
    <xdr:graphicFrame macro="">
      <xdr:nvGraphicFramePr>
        <xdr:cNvPr id="10" name="Chart 9">
          <a:extLst>
            <a:ext uri="{FF2B5EF4-FFF2-40B4-BE49-F238E27FC236}">
              <a16:creationId xmlns:a16="http://schemas.microsoft.com/office/drawing/2014/main" id="{41CDAC8B-D870-4F6C-BC5B-8AA11E01E1F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4</xdr:col>
      <xdr:colOff>247650</xdr:colOff>
      <xdr:row>27</xdr:row>
      <xdr:rowOff>142875</xdr:rowOff>
    </xdr:from>
    <xdr:ext cx="1295400" cy="1295400"/>
    <xdr:pic>
      <xdr:nvPicPr>
        <xdr:cNvPr id="7" name="Picture 6">
          <a:extLst>
            <a:ext uri="{FF2B5EF4-FFF2-40B4-BE49-F238E27FC236}">
              <a16:creationId xmlns:a16="http://schemas.microsoft.com/office/drawing/2014/main" id="{91FFFC8F-AA23-4557-ADC9-152FA88CE0E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57650" y="5524500"/>
          <a:ext cx="1295400" cy="1295400"/>
        </a:xfrm>
        <a:prstGeom prst="rect">
          <a:avLst/>
        </a:prstGeom>
      </xdr:spPr>
    </xdr:pic>
    <xdr:clientData/>
  </xdr:oneCellAnchor>
  <xdr:oneCellAnchor>
    <xdr:from>
      <xdr:col>1</xdr:col>
      <xdr:colOff>219075</xdr:colOff>
      <xdr:row>20</xdr:row>
      <xdr:rowOff>0</xdr:rowOff>
    </xdr:from>
    <xdr:ext cx="1295400" cy="1295400"/>
    <xdr:pic>
      <xdr:nvPicPr>
        <xdr:cNvPr id="8" name="Picture 7">
          <a:extLst>
            <a:ext uri="{FF2B5EF4-FFF2-40B4-BE49-F238E27FC236}">
              <a16:creationId xmlns:a16="http://schemas.microsoft.com/office/drawing/2014/main" id="{9EFE8E6B-66C1-41D6-9B59-1AE508FB5CD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3819525"/>
          <a:ext cx="1295400" cy="1295400"/>
        </a:xfrm>
        <a:prstGeom prst="rect">
          <a:avLst/>
        </a:prstGeom>
      </xdr:spPr>
    </xdr:pic>
    <xdr:clientData/>
  </xdr:oneCellAnchor>
  <xdr:twoCellAnchor editAs="absolute">
    <xdr:from>
      <xdr:col>4</xdr:col>
      <xdr:colOff>2404</xdr:colOff>
      <xdr:row>8</xdr:row>
      <xdr:rowOff>190499</xdr:rowOff>
    </xdr:from>
    <xdr:to>
      <xdr:col>4</xdr:col>
      <xdr:colOff>1285874</xdr:colOff>
      <xdr:row>17</xdr:row>
      <xdr:rowOff>185366</xdr:rowOff>
    </xdr:to>
    <xdr:graphicFrame macro="">
      <xdr:nvGraphicFramePr>
        <xdr:cNvPr id="11" name="Chart 8">
          <a:extLst>
            <a:ext uri="{FF2B5EF4-FFF2-40B4-BE49-F238E27FC236}">
              <a16:creationId xmlns:a16="http://schemas.microsoft.com/office/drawing/2014/main" id="{729A87F2-566C-4C7E-9184-B43C5D945113}"/>
            </a:ext>
            <a:ext uri="{C183D7F6-B498-43B3-948B-1728B52AA6E4}">
              <adec:decorative xmlns:adec="http://schemas.microsoft.com/office/drawing/2017/decorative" val="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xdr:row>
      <xdr:rowOff>0</xdr:rowOff>
    </xdr:from>
    <xdr:to>
      <xdr:col>13</xdr:col>
      <xdr:colOff>733425</xdr:colOff>
      <xdr:row>36</xdr:row>
      <xdr:rowOff>0</xdr:rowOff>
    </xdr:to>
    <mc:AlternateContent xmlns:mc="http://schemas.openxmlformats.org/markup-compatibility/2006">
      <mc:Choice xmlns:cx1="http://schemas.microsoft.com/office/drawing/2015/9/8/chartex" Requires="cx1">
        <xdr:graphicFrame macro="">
          <xdr:nvGraphicFramePr>
            <xdr:cNvPr id="31" name="Chart 11" descr="Sunburst chart showing breakdown of explorers, missions, and time in space by country, depending on activity.">
              <a:extLst>
                <a:ext uri="{FF2B5EF4-FFF2-40B4-BE49-F238E27FC236}">
                  <a16:creationId xmlns:a16="http://schemas.microsoft.com/office/drawing/2014/main" id="{560524E1-A669-4023-9FAD-7225CE615D5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55860</xdr:colOff>
      <xdr:row>27</xdr:row>
      <xdr:rowOff>33997</xdr:rowOff>
    </xdr:from>
    <xdr:to>
      <xdr:col>19</xdr:col>
      <xdr:colOff>693009</xdr:colOff>
      <xdr:row>30</xdr:row>
      <xdr:rowOff>144406</xdr:rowOff>
    </xdr:to>
    <xdr:pic>
      <xdr:nvPicPr>
        <xdr:cNvPr id="7" name="Picture 1">
          <a:extLst>
            <a:ext uri="{FF2B5EF4-FFF2-40B4-BE49-F238E27FC236}">
              <a16:creationId xmlns:a16="http://schemas.microsoft.com/office/drawing/2014/main" id="{3EE53D9D-94E6-4DB6-BC32-F04B9601B0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03091" y="4803824"/>
          <a:ext cx="637149" cy="610772"/>
        </a:xfrm>
        <a:prstGeom prst="rect">
          <a:avLst/>
        </a:prstGeom>
      </xdr:spPr>
    </xdr:pic>
    <xdr:clientData/>
  </xdr:twoCellAnchor>
  <xdr:twoCellAnchor editAs="absolute">
    <xdr:from>
      <xdr:col>1</xdr:col>
      <xdr:colOff>119281</xdr:colOff>
      <xdr:row>7</xdr:row>
      <xdr:rowOff>58869</xdr:rowOff>
    </xdr:from>
    <xdr:to>
      <xdr:col>9</xdr:col>
      <xdr:colOff>1018761</xdr:colOff>
      <xdr:row>22</xdr:row>
      <xdr:rowOff>210333</xdr:rowOff>
    </xdr:to>
    <xdr:grpSp>
      <xdr:nvGrpSpPr>
        <xdr:cNvPr id="2" name="Group 1" descr="Chart illustrating the number of crewed missions to space by decade.">
          <a:extLst>
            <a:ext uri="{FF2B5EF4-FFF2-40B4-BE49-F238E27FC236}">
              <a16:creationId xmlns:a16="http://schemas.microsoft.com/office/drawing/2014/main" id="{1D21EF39-F852-4FCA-97FA-9C9184FBB98F}"/>
            </a:ext>
          </a:extLst>
        </xdr:cNvPr>
        <xdr:cNvGrpSpPr/>
      </xdr:nvGrpSpPr>
      <xdr:grpSpPr>
        <a:xfrm>
          <a:off x="128806" y="1325694"/>
          <a:ext cx="9014780" cy="2799414"/>
          <a:chOff x="132980" y="1301261"/>
          <a:chExt cx="9011020" cy="2780555"/>
        </a:xfrm>
      </xdr:grpSpPr>
      <xdr:graphicFrame macro="">
        <xdr:nvGraphicFramePr>
          <xdr:cNvPr id="4" name="Cht_P5" descr="Chart illustrating the changes in destination of space travel by decade.">
            <a:extLst>
              <a:ext uri="{FF2B5EF4-FFF2-40B4-BE49-F238E27FC236}">
                <a16:creationId xmlns:a16="http://schemas.microsoft.com/office/drawing/2014/main" id="{9F3740C7-743F-41C0-B81D-35AAA4C41CC4}"/>
              </a:ext>
            </a:extLst>
          </xdr:cNvPr>
          <xdr:cNvGraphicFramePr/>
        </xdr:nvGraphicFramePr>
        <xdr:xfrm>
          <a:off x="132981" y="1301261"/>
          <a:ext cx="9011019" cy="278055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 name="Cht_P5Cover" descr="Chart illustrating the number of crewed missions to space by decade.">
            <a:extLst>
              <a:ext uri="{FF2B5EF4-FFF2-40B4-BE49-F238E27FC236}">
                <a16:creationId xmlns:a16="http://schemas.microsoft.com/office/drawing/2014/main" id="{FE2CB47F-D0ED-443D-9A31-40A08283A3F9}"/>
              </a:ext>
            </a:extLst>
          </xdr:cNvPr>
          <xdr:cNvGraphicFramePr>
            <a:graphicFrameLocks/>
          </xdr:cNvGraphicFramePr>
        </xdr:nvGraphicFramePr>
        <xdr:xfrm>
          <a:off x="132980" y="1308596"/>
          <a:ext cx="9011019" cy="272853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t_LegendCover" descr="Decoration only, to cover up text as needed">
            <a:extLst>
              <a:ext uri="{FF2B5EF4-FFF2-40B4-BE49-F238E27FC236}">
                <a16:creationId xmlns:a16="http://schemas.microsoft.com/office/drawing/2014/main" id="{EBE4497E-9CD1-4626-9989-7F3885C7C2AC}"/>
              </a:ext>
            </a:extLst>
          </xdr:cNvPr>
          <xdr:cNvGraphicFramePr>
            <a:graphicFrameLocks/>
          </xdr:cNvGraphicFramePr>
        </xdr:nvGraphicFramePr>
        <xdr:xfrm>
          <a:off x="1934308" y="1301261"/>
          <a:ext cx="6901961" cy="331977"/>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absolute">
    <xdr:from>
      <xdr:col>2</xdr:col>
      <xdr:colOff>7964</xdr:colOff>
      <xdr:row>9</xdr:row>
      <xdr:rowOff>119458</xdr:rowOff>
    </xdr:from>
    <xdr:to>
      <xdr:col>3</xdr:col>
      <xdr:colOff>968167</xdr:colOff>
      <xdr:row>18</xdr:row>
      <xdr:rowOff>26121</xdr:rowOff>
    </xdr:to>
    <xdr:graphicFrame macro="">
      <xdr:nvGraphicFramePr>
        <xdr:cNvPr id="6" name="Chart 8">
          <a:extLst>
            <a:ext uri="{FF2B5EF4-FFF2-40B4-BE49-F238E27FC236}">
              <a16:creationId xmlns:a16="http://schemas.microsoft.com/office/drawing/2014/main" id="{70E41516-6153-41C4-A5BA-96F0E7ECE133}"/>
            </a:ext>
            <a:ext uri="{C183D7F6-B498-43B3-948B-1728B52AA6E4}">
              <adec:decorative xmlns:adec="http://schemas.microsoft.com/office/drawing/2017/decorative" val="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24</xdr:row>
      <xdr:rowOff>168519</xdr:rowOff>
    </xdr:from>
    <xdr:to>
      <xdr:col>22</xdr:col>
      <xdr:colOff>14653</xdr:colOff>
      <xdr:row>27</xdr:row>
      <xdr:rowOff>168518</xdr:rowOff>
    </xdr:to>
    <xdr:graphicFrame macro="">
      <xdr:nvGraphicFramePr>
        <xdr:cNvPr id="8" name="Chart 7">
          <a:extLst>
            <a:ext uri="{FF2B5EF4-FFF2-40B4-BE49-F238E27FC236}">
              <a16:creationId xmlns:a16="http://schemas.microsoft.com/office/drawing/2014/main" id="{B0D3D787-5F77-4E5B-917B-D9B6477F072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59AA8E-E6D4-4683-A55A-219D4BC0461B}" name="Tbl_Langauges" displayName="Tbl_Langauges" ref="M1:N11" totalsRowShown="0">
  <autoFilter ref="M1:N11" xr:uid="{6C59AA8E-E6D4-4683-A55A-219D4BC0461B}"/>
  <tableColumns count="2">
    <tableColumn id="1" xr3:uid="{D42EAE01-148F-47E4-A121-971AF5DD7F4D}" name="Number"/>
    <tableColumn id="2" xr3:uid="{ECC28B84-A761-4556-9B13-57F5D4BF7586}" name="Languag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482E815-4FBC-44D7-9B5A-59511E559487}" name="Table40" displayName="Table40" ref="M51:R61" totalsRowShown="0">
  <autoFilter ref="M51:R61" xr:uid="{1DBC12F7-509C-4EB9-8023-B03D57F8ED67}"/>
  <sortState xmlns:xlrd2="http://schemas.microsoft.com/office/spreadsheetml/2017/richdata2" ref="M52:N61">
    <sortCondition descending="1" ref="N51:N61"/>
  </sortState>
  <tableColumns count="6">
    <tableColumn id="1" xr3:uid="{88CD1EF6-F329-4002-89C3-455CE1DCFB5C}" name="Rocket"/>
    <tableColumn id="2" xr3:uid="{4D448D24-904A-4D39-BF1A-1A4BF685F242}" name="Value"/>
    <tableColumn id="3" xr3:uid="{EA4867AB-8A25-4C94-B80C-64D8F12400C5}" name="Value1"/>
    <tableColumn id="4" xr3:uid="{0004B54D-F6C1-409E-B21D-E31E3F1D681F}" name="Value2"/>
    <tableColumn id="5" xr3:uid="{B9A2B3A8-3DF9-456B-95E2-2E3F85013367}" name="Value3"/>
    <tableColumn id="6" xr3:uid="{9CBFB476-503E-4D18-821E-B48B36E4A535}" name="Value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97153DD-7CB1-4874-AFD8-1C1FDAE9F83E}" name="Table41" displayName="Table41" ref="T51:Y57" totalsRowShown="0">
  <autoFilter ref="T51:Y57" xr:uid="{47486980-1401-464A-928D-124E58FBF736}"/>
  <tableColumns count="6">
    <tableColumn id="1" xr3:uid="{5D804988-6E5D-4459-B828-22696E27CABD}" name="Decade"/>
    <tableColumn id="2" xr3:uid="{CD28565B-3970-4AFA-AB26-5B441ED5B197}" name="A"/>
    <tableColumn id="3" xr3:uid="{761D7831-6EB0-44CE-8029-C87E22478FBB}" name="B"/>
    <tableColumn id="4" xr3:uid="{8AE1226F-B088-489D-B4C7-35EB94E22D3B}" name="C"/>
    <tableColumn id="5" xr3:uid="{C78FECF5-91C8-41DB-AD73-1BE4A4662B45}" name="D"/>
    <tableColumn id="6" xr3:uid="{C9A1070D-6ADA-4920-9522-9F573A4211A0}" name="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BF1CD39-D988-4E10-88F4-85E2CD702F58}" name="Tbl_P2F" displayName="Tbl_P2F" ref="F22:H31" totalsRowShown="0" headerRowDxfId="98" dataDxfId="97">
  <autoFilter ref="F22:H31" xr:uid="{06A19CDF-FBCD-487E-8773-731BEA6729E2}"/>
  <sortState xmlns:xlrd2="http://schemas.microsoft.com/office/spreadsheetml/2017/richdata2" ref="F23:H31">
    <sortCondition ref="F22:F31"/>
  </sortState>
  <tableColumns count="3">
    <tableColumn id="1" xr3:uid="{F1733C8F-C147-4D4F-AA6A-F22E104D7679}" name="Rocket name" dataDxfId="96"/>
    <tableColumn id="2" xr3:uid="{868DA451-D202-4768-A5F8-535551005F9A}" name="First launch year" dataDxfId="95"/>
    <tableColumn id="3" xr3:uid="{180A9066-AB7B-48FE-BD0B-CF0865F8770F}" name="Payload mass (kg)" dataDxfId="94"/>
  </tableColumns>
  <tableStyleInfo name="Day of Data"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FAC7E9F-CE98-4876-88AD-017D35FFAA6D}" name="Tbl_P3F" displayName="Tbl_P3F" ref="E22:I31" totalsRowShown="0" headerRowDxfId="87" dataDxfId="86">
  <autoFilter ref="E22:I31" xr:uid="{06A19CDF-FBCD-487E-8773-731BEA6729E2}"/>
  <sortState xmlns:xlrd2="http://schemas.microsoft.com/office/spreadsheetml/2017/richdata2" ref="E23:I31">
    <sortCondition ref="E22:E31"/>
  </sortState>
  <tableColumns count="5">
    <tableColumn id="1" xr3:uid="{5B265F8C-9CA3-4B9A-8477-FF7F8E5644CA}" name="Rocket name" dataDxfId="85"/>
    <tableColumn id="2" xr3:uid="{37D5A8A4-0191-42E3-9C90-26BAB219BCE7}" name="First launch" dataDxfId="84"/>
    <tableColumn id="3" xr3:uid="{D88C8BDF-1CC4-4C98-A2A1-8E18E9C26EC5}" name="Payload mass (kg)" dataDxfId="83"/>
    <tableColumn id="4" xr3:uid="{0BFBE7DF-7035-4FF3-AF92-842F556948B2}" name="Structure mass (kg)" dataDxfId="82"/>
    <tableColumn id="5" xr3:uid="{A0F6858E-7EF2-4B2B-B271-8ADCDF781979}" name="Fuel mass (kg)" dataDxfId="81"/>
  </tableColumns>
  <tableStyleInfo name="Day of Data"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1D8C51A-DB66-405D-B859-4AB2153FD5D8}" name="Tbl_P4F" displayName="Tbl_P4F" ref="E22:I31" totalsRowShown="0" headerRowDxfId="75">
  <autoFilter ref="E22:I31" xr:uid="{06A19CDF-FBCD-487E-8773-731BEA6729E2}"/>
  <sortState xmlns:xlrd2="http://schemas.microsoft.com/office/spreadsheetml/2017/richdata2" ref="E23:I31">
    <sortCondition ref="F22:F31"/>
  </sortState>
  <tableColumns count="5">
    <tableColumn id="1" xr3:uid="{3A17D7B6-526C-4CE8-BE0D-15B80E93D6D0}" name="Rocket name" dataDxfId="74"/>
    <tableColumn id="2" xr3:uid="{7E270051-C5C3-4828-8178-79C3A09245EE}" name="First launch" dataDxfId="73"/>
    <tableColumn id="3" xr3:uid="{1015574F-943A-42CF-9180-A86B8388E888}" name="Payload mass (kg)" dataDxfId="72"/>
    <tableColumn id="4" xr3:uid="{214D4A2A-91F8-4D53-A488-7BB65440F61E}" name="Launch cost ($)" dataDxfId="71"/>
    <tableColumn id="5" xr3:uid="{F361D7DB-489F-4AC5-AE7C-EF2F8BE10BB9}" name="Cost per kg ($/kg)" dataDxfId="70"/>
  </tableColumns>
  <tableStyleInfo name="Day of Data"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1D25D64-78F1-452F-9416-BBFEAE85DACD}" name="Table37" displayName="Table37" ref="O9:Q17" totalsRowShown="0" headerRowDxfId="67" dataDxfId="66">
  <autoFilter ref="O9:Q17" xr:uid="{0BC0D0BC-99F5-45B9-9C4F-66AE5BC40949}"/>
  <tableColumns count="3">
    <tableColumn id="1" xr3:uid="{6CD712FC-7F8D-4652-BEF8-2DA8C00DC0C7}" name="Continent" dataDxfId="65"/>
    <tableColumn id="2" xr3:uid="{55AEDCB6-1122-4E3C-9E39-FD309877D3FC}" name="Country" dataDxfId="64"/>
    <tableColumn id="3" xr3:uid="{7A603589-BC7F-4E10-9D4C-E2AE04300D8C}" name="Mission Time (days)" dataDxfId="63">
      <calculatedColumnFormula>'Backend P6'!I3</calculatedColumnFormula>
    </tableColumn>
  </tableColumns>
  <tableStyleInfo name="Day of Data"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01CD1EB-4026-4671-8062-1537867EF1EA}" name="Table22" displayName="Table22" ref="B2:I10" totalsRowShown="0">
  <autoFilter ref="B2:I10" xr:uid="{EA9779A2-FAAC-40A9-8B46-9908A3B9F653}"/>
  <tableColumns count="8">
    <tableColumn id="1" xr3:uid="{67889A8F-B3C6-4694-9931-6269B27EF59F}" name="Continent"/>
    <tableColumn id="2" xr3:uid="{1059DFE9-80A3-429A-8789-8ACF83DA242F}" name="Country"/>
    <tableColumn id="3" xr3:uid="{468870B9-40EB-45FD-A745-27C99C5C052E}" name="Explorers" dataDxfId="62">
      <calculatedColumnFormula>SUMIFS(Table24[Explorers],Table24[Country2],Table22[[#This Row],[Country]])</calculatedColumnFormula>
    </tableColumn>
    <tableColumn id="4" xr3:uid="{81F60F33-CE15-455A-90B1-C9238413C872}" name="Missions" dataDxfId="61">
      <calculatedColumnFormula>SUMIFS(Table24[Missions],Table24[Country2],Table22[[#This Row],[Country]])</calculatedColumnFormula>
    </tableColumn>
    <tableColumn id="5" xr3:uid="{50B7935B-550C-4732-A79D-60B99CE60C39}" name="Mission Time" dataDxfId="60">
      <calculatedColumnFormula>SUMIFS(Table24[Mission Time],Table24[Country2],Table22[[#This Row],[Country]])</calculatedColumnFormula>
    </tableColumn>
    <tableColumn id="6" xr3:uid="{147F2988-4170-4EC8-97AD-C6A449D5CB90}" name="First Explorer Date" dataDxfId="59">
      <calculatedColumnFormula>_xlfn.MINIFS(Table24[First time],Table24[Country2],Table22[[#This Row],[Country]])</calculatedColumnFormula>
    </tableColumn>
    <tableColumn id="7" xr3:uid="{0B6504D1-9861-4AE4-B7F5-DBC82E25D111}" name="Name" dataDxfId="58">
      <calculatedColumnFormula array="1">INDEX(Table24[First explorer],MATCH(1,(Table24[First time]=Table22[[#This Row],[First Explorer Date]])*(Table24[Country2]=Table22[[#This Row],[Country]]),0))</calculatedColumnFormula>
    </tableColumn>
    <tableColumn id="8" xr3:uid="{E163FD6C-69D6-4D56-A550-77535C858D35}" name="Value" dataDxfId="57">
      <calculatedColumnFormula array="1">_xlfn.SWITCH($T$1,1,Table22[[#This Row],[Explorers]],2,Table22[[#This Row],[Explorers]],3,Table22[[#This Row],[Missions]],4,Table22[[#This Row],[Mission Time]])</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1E7672D-995B-40B0-B2BE-C6C6B95C923C}" name="Table24" displayName="Table24" ref="K2:R45" totalsRowShown="0">
  <autoFilter ref="K2:R45" xr:uid="{D24E2022-6256-41DE-A6F0-DDC07153F0A9}"/>
  <sortState xmlns:xlrd2="http://schemas.microsoft.com/office/spreadsheetml/2017/richdata2" ref="K3:R45">
    <sortCondition ref="Q2:Q45"/>
  </sortState>
  <tableColumns count="8">
    <tableColumn id="1" xr3:uid="{B557454C-8D4E-455D-9FA0-11EBDA0FD94D}" name="Continent"/>
    <tableColumn id="2" xr3:uid="{75715596-B250-4E65-8728-BE11747998A2}" name="Country"/>
    <tableColumn id="3" xr3:uid="{6E5F557F-D429-4095-AD0D-9EC900E652CD}" name="Explorers"/>
    <tableColumn id="4" xr3:uid="{F6B474CD-347B-4C6E-ABD9-13F7F8ACD954}" name="Missions"/>
    <tableColumn id="5" xr3:uid="{716464D7-0531-461C-95BB-14AD4ECA7701}" name="Mission Time"/>
    <tableColumn id="6" xr3:uid="{480BFAA7-67FC-4171-9660-EEC26C419A5C}" name="Country2">
      <calculatedColumnFormula>_xlfn.XLOOKUP(L3,Table22[Country],Table22[Country],"Other")</calculatedColumnFormula>
    </tableColumn>
    <tableColumn id="8" xr3:uid="{42FBDE06-AFC8-49DC-948C-18C74BFEBAAB}" name="First time"/>
    <tableColumn id="7" xr3:uid="{C33DCBE0-D3C4-4856-9475-241DAFD8A3D5}" name="First explorer"/>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37F1960-E551-4234-8528-12E100686367}" name="TblB_P3_DD3334" displayName="TblB_P3_DD3334" ref="T2:X6" totalsRowShown="0">
  <autoFilter ref="T2:X6" xr:uid="{52770EB3-91C1-4FB9-A40D-ADB5CF1CDE3C}"/>
  <tableColumns count="5">
    <tableColumn id="1" xr3:uid="{BDE28520-81CA-4ADC-B382-8045B5AB5639}" name="Dropdown"/>
    <tableColumn id="2" xr3:uid="{62FA8DD0-5ADA-499E-96B2-F2ED4006BF26}" name="Text1"/>
    <tableColumn id="3" xr3:uid="{20F79A14-90DB-40FE-A755-90FCD1140D54}" name="Img" dataDxfId="56">
      <calculatedColumnFormula>IF(TblB_P3_DD3334[[#This Row],[Dropdown]]='6.Visualizing with creativity'!$B$7,1,NA())</calculatedColumnFormula>
    </tableColumn>
    <tableColumn id="4" xr3:uid="{5983B310-391C-4C64-A4B5-2E7F9001284D}" name="Text2"/>
    <tableColumn id="5" xr3:uid="{CB004E35-129B-4AE7-9988-B5405A963A74}" name="Chart Titl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69F937-BFA4-406D-8B7D-ECD7574E24E9}" name="Table16" displayName="Table16" ref="B2:J8" totalsRowShown="0">
  <autoFilter ref="B2:J8" xr:uid="{6DD47015-2208-467D-9FEB-963EBD122BDF}"/>
  <tableColumns count="9">
    <tableColumn id="1" xr3:uid="{42BA88CC-E8F5-4327-9C19-586FFB359ABA}" name="Question"/>
    <tableColumn id="8" xr3:uid="{72C326FE-3D8C-4A5D-BABF-973A2D071281}" name="Q" dataDxfId="55">
      <calculatedColumnFormula>Translations!$K$473&amp;Table16[[#This Row],[Question]]</calculatedColumnFormula>
    </tableColumn>
    <tableColumn id="2" xr3:uid="{A578D594-C5F8-41E5-A016-87357B7EC5E3}" name="Correct"/>
    <tableColumn id="3" xr3:uid="{586D03F8-C3BF-46BF-A508-ED2B78972B5A}" name="Prompt">
      <calculatedColumnFormula>Translations!K387</calculatedColumnFormula>
    </tableColumn>
    <tableColumn id="9" xr3:uid="{6568A6EF-FEB6-4A21-BF72-94630D4611F1}" name="Answer" dataDxfId="54">
      <calculatedColumnFormula array="1">INDIRECT("DD_Q"&amp;Table16[[#This Row],[Question]],FALSE)</calculatedColumnFormula>
    </tableColumn>
    <tableColumn id="4" xr3:uid="{9FE3A121-7853-4FFC-B18F-E5D2AA1731CA}" name="Correct Text" dataDxfId="53">
      <calculatedColumnFormula>Translations!$K$393</calculatedColumnFormula>
    </tableColumn>
    <tableColumn id="5" xr3:uid="{CF3DF3CC-4ADD-4374-A4B3-7BFD895015CB}" name="Incorrect text">
      <calculatedColumnFormula>Translations!$K$394</calculatedColumnFormula>
    </tableColumn>
    <tableColumn id="6" xr3:uid="{1D2889BA-3FF9-47D4-BD81-77F96F603395}" name="Shown text" dataDxfId="52">
      <calculatedColumnFormula array="1">_xlfn.SWITCH(INDIRECT("DD_Q"&amp;Table16[[#This Row],[Question]],FALSE),Table16[[#This Row],[Correct]],Table16[[#This Row],[Correct Text]],0,"",Table16[[#This Row],[Incorrect text]])</calculatedColumnFormula>
    </tableColumn>
    <tableColumn id="7" xr3:uid="{DEC4F9A3-02D8-4A8B-9C7A-01F4609B83F0}" name="Correct2" dataDxfId="51">
      <calculatedColumnFormula>IF(Table16[[#This Row],[Shown text]]=Table16[[#This Row],[Correct Text]],1,0)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7200AB-C1AD-43A5-92F8-EBE7D378F385}" name="Tbl_Translations" displayName="Tbl_Translations" ref="A1:K477" totalsRowShown="0">
  <autoFilter ref="A1:K477" xr:uid="{D07200AB-C1AD-43A5-92F8-EBE7D378F385}"/>
  <tableColumns count="11">
    <tableColumn id="1" xr3:uid="{5F706502-1177-4CFA-8BDF-D074FC6B73F7}" name="Language 1"/>
    <tableColumn id="2" xr3:uid="{1AF4A30F-59DF-4071-8CC8-6AB76D9FB46F}" name="Language 2"/>
    <tableColumn id="3" xr3:uid="{1B16BE6B-6E6B-42A9-A0E1-EDA2C8B1E206}" name="Language 3"/>
    <tableColumn id="4" xr3:uid="{7E5DADF5-99B6-472D-9C95-7EFF05939FC0}" name="Language 4"/>
    <tableColumn id="5" xr3:uid="{96C988D7-1EEB-4DFB-BDFD-CD4D14FF49AB}" name="Language 5"/>
    <tableColumn id="6" xr3:uid="{4D47E3B3-30CF-4630-B076-8000D664BBA9}" name="Language 6"/>
    <tableColumn id="7" xr3:uid="{B1C3664B-4F39-47CC-A111-42F479DB0B2B}" name="Language 7"/>
    <tableColumn id="8" xr3:uid="{8AB38AB1-08F5-410C-854A-52FA9DEF7B50}" name="Language 8"/>
    <tableColumn id="9" xr3:uid="{FACC7343-C110-4CA1-91E3-21C49E0506AC}" name="Language 9"/>
    <tableColumn id="10" xr3:uid="{4CD4DAA5-FD6B-486A-BF1B-73BBF3F22E23}" name="Language 10"/>
    <tableColumn id="11" xr3:uid="{68939E23-002B-41BA-BB03-8194030AAC43}" name="Translation" dataDxfId="137">
      <calculatedColumnFormula array="1">INDEX(Tbl_Translations[[#This Row],[Language 1]:[Language 10]],IFERROR(MATCH(Introduction!$C$22,Tbl_Langauges[Language],0),1))</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FDEBB8-9502-41BD-89A0-71562AC0DCF4}" name="Tbl_P5F" displayName="Tbl_P5F" ref="D24:J30" totalsRowCount="1" headerRowDxfId="43" dataDxfId="42">
  <autoFilter ref="D24:J29" xr:uid="{C90E1A99-871C-47AA-B2B1-5A332B4F01A7}"/>
  <sortState xmlns:xlrd2="http://schemas.microsoft.com/office/spreadsheetml/2017/richdata2" ref="D25:J29">
    <sortCondition ref="D24:D29"/>
  </sortState>
  <tableColumns count="7">
    <tableColumn id="1" xr3:uid="{B0ACE0E2-B5DA-4C1F-8617-1AB2126C804B}" name="Destination" totalsRowLabel="Total" dataDxfId="40" totalsRowDxfId="41"/>
    <tableColumn id="2" xr3:uid="{74F245EB-AC43-46B2-AA94-3587A1115FED}" name="1960s" totalsRowFunction="custom" dataDxfId="38" totalsRowDxfId="39">
      <calculatedColumnFormula array="1">INDEX(Tbl_Ex2_Data[],MATCH(LEFT(E$24,4)&amp;"-"&amp;Tbl_P5F[[#This Row],[Destination]],Tbl_Ex2_Data[year Dest],0),INDEX(Tbl_P5B[Column],DD_P5_SelNum))</calculatedColumnFormula>
      <totalsRowFormula>SUM(Tbl_P5F[1960s])</totalsRowFormula>
    </tableColumn>
    <tableColumn id="3" xr3:uid="{32FAB77F-566C-441F-8EB0-1A09FC8A766F}" name="1970s" totalsRowFunction="custom" dataDxfId="36" totalsRowDxfId="37">
      <calculatedColumnFormula array="1">INDEX(Tbl_Ex2_Data[],MATCH(LEFT(F$24,4)&amp;"-"&amp;Tbl_P5F[[#This Row],[Destination]],Tbl_Ex2_Data[year Dest],0),INDEX(Tbl_P5B[Column],DD_P5_SelNum))</calculatedColumnFormula>
      <totalsRowFormula>SUM(Tbl_P5F[1970s])</totalsRowFormula>
    </tableColumn>
    <tableColumn id="4" xr3:uid="{E2F7D866-ACBF-4CEF-B7C3-CD654E85427F}" name="1980s" totalsRowFunction="custom" dataDxfId="34" totalsRowDxfId="35">
      <calculatedColumnFormula array="1">INDEX(Tbl_Ex2_Data[],MATCH(LEFT(G$24,4)&amp;"-"&amp;Tbl_P5F[[#This Row],[Destination]],Tbl_Ex2_Data[year Dest],0),INDEX(Tbl_P5B[Column],DD_P5_SelNum))</calculatedColumnFormula>
      <totalsRowFormula>SUM(Tbl_P5F[1980s])</totalsRowFormula>
    </tableColumn>
    <tableColumn id="5" xr3:uid="{37410454-561A-444B-ABCE-D62EBC97E64A}" name="1990s" totalsRowFunction="custom" dataDxfId="32" totalsRowDxfId="33">
      <calculatedColumnFormula array="1">INDEX(Tbl_Ex2_Data[],MATCH(LEFT(H$24,4)&amp;"-"&amp;Tbl_P5F[[#This Row],[Destination]],Tbl_Ex2_Data[year Dest],0),INDEX(Tbl_P5B[Column],DD_P5_SelNum))</calculatedColumnFormula>
      <totalsRowFormula>SUM(Tbl_P5F[1990s])</totalsRowFormula>
    </tableColumn>
    <tableColumn id="6" xr3:uid="{E94BDC4B-7198-45A1-8A04-FDB39F550F03}" name="2000s" totalsRowFunction="custom" dataDxfId="30" totalsRowDxfId="31">
      <calculatedColumnFormula array="1">INDEX(Tbl_Ex2_Data[],MATCH(LEFT(I$24,4)&amp;"-"&amp;Tbl_P5F[[#This Row],[Destination]],Tbl_Ex2_Data[year Dest],0),INDEX(Tbl_P5B[Column],DD_P5_SelNum))</calculatedColumnFormula>
      <totalsRowFormula>SUM(Tbl_P5F[2000s])</totalsRowFormula>
    </tableColumn>
    <tableColumn id="7" xr3:uid="{DD7FC8AC-F3F0-481D-BD86-902914D40793}" name="2010s" totalsRowFunction="custom" dataDxfId="28" totalsRowDxfId="29">
      <calculatedColumnFormula array="1">INDEX(Tbl_Ex2_Data[],MATCH(LEFT(J$24,4)&amp;"-"&amp;Tbl_P5F[[#This Row],[Destination]],Tbl_Ex2_Data[year Dest],0),INDEX(Tbl_P5B[Column],DD_P5_SelNum))</calculatedColumnFormula>
      <totalsRowFormula>SUM(Tbl_P5F[2010s])</totalsRowFormula>
    </tableColumn>
  </tableColumns>
  <tableStyleInfo name="Day of Data"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862058-F709-41CF-826E-E0E53FAFC5DA}" name="Tbl_Ex2_Data" displayName="Tbl_Ex2_Data" ref="B3:G38" totalsRowShown="0">
  <autoFilter ref="B3:G38" xr:uid="{C1B39A63-5D48-4D8D-AF28-2007BC2C99BF}"/>
  <tableColumns count="6">
    <tableColumn id="1" xr3:uid="{C23243E6-494D-4EA6-88F2-575E4E192D78}" name="Decade"/>
    <tableColumn id="2" xr3:uid="{3D47F831-C9B3-4F22-991F-ACB47431B2E6}" name="Destination"/>
    <tableColumn id="8" xr3:uid="{DA033C09-242C-414E-A88C-DF3638459251}" name="year Dest" dataDxfId="25">
      <calculatedColumnFormula>Tbl_Ex2_Data[[#This Row],[Decade]]&amp;"-"&amp;Tbl_Ex2_Data[[#This Row],[Destination]]</calculatedColumnFormula>
    </tableColumn>
    <tableColumn id="3" xr3:uid="{2C2BBD29-BD61-4A97-85D2-3A23359FD024}" name="Mission" dataDxfId="24"/>
    <tableColumn id="4" xr3:uid="{5B911176-A8B1-48F5-A02F-55215D9D5F8C}" name="People" dataDxfId="23"/>
    <tableColumn id="5" xr3:uid="{A72FADEB-A774-466E-9F7B-9576FE6099C7}" name="Time" dataDxfId="2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8305315-BA79-47F6-9B5D-C89D9A484DDA}" name="Tbl_P5B" displayName="Tbl_P5B" ref="I3:O10" totalsRowShown="0">
  <autoFilter ref="I3:O10" xr:uid="{8B75A262-8AEA-46BE-8A81-17E4E3952025}"/>
  <tableColumns count="7">
    <tableColumn id="1" xr3:uid="{E5D5B0E6-4C1A-458D-B278-6089FB151808}" name="Dropdown" dataDxfId="21">
      <calculatedColumnFormula>Translations!$K355</calculatedColumnFormula>
    </tableColumn>
    <tableColumn id="2" xr3:uid="{8AA5EF91-1F26-42DE-967F-968ADFF7A625}" name="Title"/>
    <tableColumn id="3" xr3:uid="{E6C74AD3-5B77-4718-835B-1A7AF2315E5D}" name="Text1">
      <calculatedColumnFormula>Translations!$K365</calculatedColumnFormula>
    </tableColumn>
    <tableColumn id="6" xr3:uid="{055BE17A-5283-4BAA-B966-FFF477D6B51E}" name="Axis Title"/>
    <tableColumn id="7" xr3:uid="{B8D4525C-8F63-41C6-8D01-7414289C1200}" name="Table desc"/>
    <tableColumn id="8" xr3:uid="{1A9E2F2B-4379-4047-BE1E-FB92EDB931F9}" name="ImgSel" dataDxfId="20">
      <calculatedColumnFormula>IF(DD_P5_Sel=Tbl_P5B[[#This Row],[Dropdown]],1,NA())</calculatedColumnFormula>
    </tableColumn>
    <tableColumn id="9" xr3:uid="{75FFA32E-0427-4073-B972-72297A2C8EA5}" nam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1D5CBB-7BB1-4330-B45D-6B70EDDF6D6F}" name="Tbl_P5F13" displayName="Tbl_P5F13" ref="T3:AB9" totalsRowShown="0" headerRowDxfId="19" dataDxfId="18">
  <autoFilter ref="T3:AB9" xr:uid="{B3E2B044-1890-40F7-BA53-89B0AAFB9279}"/>
  <sortState xmlns:xlrd2="http://schemas.microsoft.com/office/spreadsheetml/2017/richdata2" ref="V4:AB8">
    <sortCondition ref="V24:V29"/>
  </sortState>
  <tableColumns count="9">
    <tableColumn id="8" xr3:uid="{F708E650-A978-4F74-8090-2D5FD6C6D438}" name="Row" dataDxfId="16" totalsRowDxfId="17">
      <calculatedColumnFormula array="1">ROW()-ROW(Tbl_P5F13[#Headers])</calculatedColumnFormula>
    </tableColumn>
    <tableColumn id="9" xr3:uid="{1DE4E03C-1C16-41C6-9404-1F9A9A259517}" name="Visible" dataDxfId="14" totalsRowDxfId="15">
      <calculatedColumnFormula>OR(AND(DD_P5_SelNum&lt;4,Tbl_P5F13[[#This Row],[Row]]=6),AND(DD_P5_SelNum&gt;=4,Tbl_P5F13[[#This Row],[Row]]&lt;6))</calculatedColumnFormula>
    </tableColumn>
    <tableColumn id="1" xr3:uid="{D55C6F3F-9793-4F3F-8F4A-3D062FDE3F79}" name="Destination" dataDxfId="12" totalsRowDxfId="13">
      <calculatedColumnFormula>'5.Visualizing with COMPLEXITY'!D25</calculatedColumnFormula>
    </tableColumn>
    <tableColumn id="2" xr3:uid="{B98C2F6F-CFCE-4B7E-AE6F-DF81E83A3C28}" name="1960s" dataDxfId="10" totalsRowDxfId="11">
      <calculatedColumnFormula>IF(Tbl_P5F13[[#This Row],[Visible]],'5.Visualizing with COMPLEXITY'!E25,NA())</calculatedColumnFormula>
    </tableColumn>
    <tableColumn id="3" xr3:uid="{6A273465-BDEC-4D83-A31D-951F8B37699A}" name="1970s" dataDxfId="8" totalsRowDxfId="9">
      <calculatedColumnFormula>IF(Tbl_P5F13[[#This Row],[Visible]],'5.Visualizing with COMPLEXITY'!F25,NA())</calculatedColumnFormula>
    </tableColumn>
    <tableColumn id="4" xr3:uid="{171FC064-4F39-474E-AC47-E7A992A0A66E}" name="1980s" dataDxfId="6" totalsRowDxfId="7">
      <calculatedColumnFormula>IF(Tbl_P5F13[[#This Row],[Visible]],'5.Visualizing with COMPLEXITY'!G25,NA())</calculatedColumnFormula>
    </tableColumn>
    <tableColumn id="5" xr3:uid="{46A606E5-07D1-4AA7-96E0-35CB4FD29775}" name="1990s" dataDxfId="4" totalsRowDxfId="5">
      <calculatedColumnFormula>IF(Tbl_P5F13[[#This Row],[Visible]],'5.Visualizing with COMPLEXITY'!H25,NA())</calculatedColumnFormula>
    </tableColumn>
    <tableColumn id="6" xr3:uid="{3E20B620-E3A2-4C84-81C4-32524F77B7A7}" name="2000s" dataDxfId="2" totalsRowDxfId="3">
      <calculatedColumnFormula>IF(Tbl_P5F13[[#This Row],[Visible]],'5.Visualizing with COMPLEXITY'!I25,NA())</calculatedColumnFormula>
    </tableColumn>
    <tableColumn id="7" xr3:uid="{21A8E89C-04C8-4AE2-959C-C7C877465AC9}" name="2010s" dataDxfId="0" totalsRowDxfId="1">
      <calculatedColumnFormula>IF(Tbl_P5F13[[#This Row],[Visible]],'5.Visualizing with COMPLEXITY'!J25,NA())</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F401D38-36C1-4552-85A2-66CBA515D7E5}" name="Table18" displayName="Table18" ref="Q3:R9" totalsRowShown="0">
  <autoFilter ref="Q3:R9" xr:uid="{673F11F8-E09E-44F5-81E7-405D4BDF233C}"/>
  <tableColumns count="2">
    <tableColumn id="1" xr3:uid="{8BB9B398-C7FF-4236-8961-A9E5A2753C2F}" name="Decade"/>
    <tableColumn id="2" xr3:uid="{CE8C5586-55FF-44E7-8B1E-552F756D6EA9}" name="Valu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45A5393-0D4B-458D-9ADF-0FC70A22E847}" name="Table23" displayName="Table23" ref="B8:L17" totalsRowShown="0">
  <autoFilter ref="B8:L17" xr:uid="{22C3B416-0867-4641-A31E-08051668D828}"/>
  <sortState xmlns:xlrd2="http://schemas.microsoft.com/office/spreadsheetml/2017/richdata2" ref="B9:L18">
    <sortCondition ref="B8:B18"/>
  </sortState>
  <tableColumns count="11">
    <tableColumn id="1" xr3:uid="{BB5A0B97-483B-428D-8157-7AB6141B2E8E}" name="Rocket"/>
    <tableColumn id="2" xr3:uid="{776181C9-1988-405F-8C35-F6DEBB4F1376}" name="Year"/>
    <tableColumn id="4" xr3:uid="{6D93E374-84BE-485B-A517-897D61C30C06}" name="Launch Cost"/>
    <tableColumn id="3" xr3:uid="{81398DC5-6B57-4F5C-852A-8A912A20FFA6}" name="Payload"/>
    <tableColumn id="6" xr3:uid="{87B625F2-4C03-4FED-8726-E0B9F14BB003}" name="Dry mass"/>
    <tableColumn id="5" xr3:uid="{1EAA4690-E4DF-45AB-837E-1491D772050B}" name="Propellant"/>
    <tableColumn id="7" xr3:uid="{0648B140-6CB2-4F78-9C74-29DD46BB8469}" name="$/kg" dataDxfId="136">
      <calculatedColumnFormula>1000000*Table23[[#This Row],[Launch Cost]]/Table23[[#This Row],[Payload]]</calculatedColumnFormula>
    </tableColumn>
    <tableColumn id="8" xr3:uid="{446B3590-D84A-487C-9DFB-B8E1B6C9A372}" name="Payload-dry mass" dataDxfId="135" dataCellStyle="Percent">
      <calculatedColumnFormula>Table23[[#This Row],[Payload]]/SUM(Table23[[#This Row],[Payload]:[Dry mass]])</calculatedColumnFormula>
    </tableColumn>
    <tableColumn id="9" xr3:uid="{B022AC7F-13AF-497B-BE19-C8FD124B23B3}" name="Payload (kg)" dataDxfId="134">
      <calculatedColumnFormula>Table23[[#This Row],[Payload]]</calculatedColumnFormula>
    </tableColumn>
    <tableColumn id="10" xr3:uid="{4C0A799B-DC42-436E-8A5D-C7CCBADD7B75}" name="Dry mass (kg)" dataDxfId="133">
      <calculatedColumnFormula>Table23[[#This Row],[Dry mass]]</calculatedColumnFormula>
    </tableColumn>
    <tableColumn id="11" xr3:uid="{6DA18B94-DCA1-4ED1-A8FD-D666657E1D62}" name="Fuel (kg)" dataDxfId="132">
      <calculatedColumnFormula array="1">_xlfn.SWITCH($T$7,3,NA(),Table23[[#This Row],[Propellant]])</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4662071-0A66-4BBD-B732-62CB8BCBDE5A}" name="TblB_P2_DD" displayName="TblB_P2_DD" ref="N8:Q11" totalsRowShown="0">
  <autoFilter ref="N8:Q11" xr:uid="{5207345E-AB7E-4CEA-91A3-E3E27BEBCAA1}"/>
  <tableColumns count="4">
    <tableColumn id="1" xr3:uid="{DB54BFE0-CC86-4296-8BC7-B744D6DD99F0}" name="Dropdown"/>
    <tableColumn id="2" xr3:uid="{92FBE117-1EE0-4CA2-AFF8-217798038020}" name="Text1" dataDxfId="131">
      <calculatedColumnFormula>Translations!K310</calculatedColumnFormula>
    </tableColumn>
    <tableColumn id="3" xr3:uid="{866E9B06-C73B-4220-9E02-15C093464A73}" name="Text2"/>
    <tableColumn id="4" xr3:uid="{656F1BEB-8CFC-404D-B6CA-B3345E938ACB}" name="Text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8038A72-93C6-4A40-BF84-D9A3FC843357}" name="TblB_P3_DD" displayName="TblB_P3_DD" ref="T8:U11" totalsRowShown="0">
  <autoFilter ref="T8:U11" xr:uid="{2162D0B2-7020-4A87-8710-BEDFDB94DE00}"/>
  <tableColumns count="2">
    <tableColumn id="1" xr3:uid="{7E3545D6-57B6-4E2F-8EED-F75845331959}" name="Dropdown">
      <calculatedColumnFormula>Translations!K316</calculatedColumnFormula>
    </tableColumn>
    <tableColumn id="2" xr3:uid="{686E4AEC-2B7E-4117-8EAD-8D7345BD3352}" name="Text1">
      <calculatedColumnFormula>Translations!K319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E0A6544-5F87-4036-A29B-8DD8E63E3BBC}" name="Table29" displayName="Table29" ref="B20:N29" totalsRowShown="0">
  <autoFilter ref="B20:N29" xr:uid="{F2FA4E42-8F55-409E-83CA-1941A2988B28}"/>
  <tableColumns count="13">
    <tableColumn id="12" xr3:uid="{BEA727AA-5A62-49FE-A1FB-262806246DEE}" name="Row" dataDxfId="130">
      <calculatedColumnFormula array="1">ROW()-ROW(Table29[#Headers])</calculatedColumnFormula>
    </tableColumn>
    <tableColumn id="1" xr3:uid="{1B4EEBFC-B58A-4A95-8C80-D04653353222}" name="Rocket" dataDxfId="129">
      <calculatedColumnFormula>Table29[[#This Row],[Column1]]&amp;"
"&amp;Table29[[#This Row],[Year]]</calculatedColumnFormula>
    </tableColumn>
    <tableColumn id="2" xr3:uid="{9630FDFF-0266-46EE-AD8C-C1A47A050BCA}" name="Year" dataDxfId="128">
      <calculatedColumnFormula>_xlfn.XLOOKUP(Table29[[#This Row],[Column1]],Table23[Rocket],Table23[Year])</calculatedColumnFormula>
    </tableColumn>
    <tableColumn id="3" xr3:uid="{93DE6A72-94F2-472C-8795-A72F331AEC8F}" name="Launch Cost" dataDxfId="127">
      <calculatedColumnFormula>_xlfn.XLOOKUP(Table29[[#This Row],[Column1]],Table23[Rocket],Table23[Launch Cost])</calculatedColumnFormula>
    </tableColumn>
    <tableColumn id="4" xr3:uid="{7C18FF9D-65D8-4757-810B-D9E92E91351A}" name="Payload" dataDxfId="126">
      <calculatedColumnFormula>_xlfn.XLOOKUP(Table29[[#This Row],[Column1]],Table23[Rocket],Table23[Payload])</calculatedColumnFormula>
    </tableColumn>
    <tableColumn id="5" xr3:uid="{842E929C-7531-4D0C-983B-C9DB704BE96F}" name="Dry mass" dataDxfId="125">
      <calculatedColumnFormula>_xlfn.XLOOKUP(Table29[[#This Row],[Column1]],Table23[Rocket],Table23[Dry mass])</calculatedColumnFormula>
    </tableColumn>
    <tableColumn id="6" xr3:uid="{BE1AA11F-AD0F-41C1-A393-3347EF1CF410}" name="Propellant" dataDxfId="124">
      <calculatedColumnFormula>_xlfn.XLOOKUP(Table29[[#This Row],[Column1]],Table23[Rocket],Table23[Propellant])</calculatedColumnFormula>
    </tableColumn>
    <tableColumn id="7" xr3:uid="{B23061D6-2798-45C8-9943-C821C7B0D95B}" name="$/kg" dataDxfId="123">
      <calculatedColumnFormula>_xlfn.XLOOKUP(Table29[[#This Row],[Column1]],Table23[Rocket],Table23[$/kg])</calculatedColumnFormula>
    </tableColumn>
    <tableColumn id="8" xr3:uid="{08DB25F8-0923-4618-8DAA-347B66A86ED0}" name="Payload-dry mass (%)" dataDxfId="122">
      <calculatedColumnFormula>_xlfn.XLOOKUP(Table29[[#This Row],[Column1]],Table23[Rocket],Table23[Payload-dry mass])</calculatedColumnFormula>
    </tableColumn>
    <tableColumn id="9" xr3:uid="{849881F0-795B-4A7F-BE6B-6598FBA640F1}" name="Payload (kg)" dataDxfId="121">
      <calculatedColumnFormula>_xlfn.XLOOKUP(Table29[[#This Row],[Column1]],Table23[Rocket],Table23[Payload (kg)])</calculatedColumnFormula>
    </tableColumn>
    <tableColumn id="10" xr3:uid="{CB00FEFD-C8A9-4623-96FE-98F22089CD85}" name="Dry mass (kg)" dataDxfId="120">
      <calculatedColumnFormula>_xlfn.XLOOKUP(Table29[[#This Row],[Column1]],Table23[Rocket],Table23[Dry mass (kg)])</calculatedColumnFormula>
    </tableColumn>
    <tableColumn id="11" xr3:uid="{64F72D91-2CA5-411B-96CB-0E17EFA8BD46}" name="Fuel (kg)" dataDxfId="119">
      <calculatedColumnFormula>_xlfn.XLOOKUP(Table29[[#This Row],[Column1]],Table23[Rocket],Table23[Fuel (kg)])</calculatedColumnFormula>
    </tableColumn>
    <tableColumn id="13" xr3:uid="{A3564923-67F3-47C0-98EE-6791D98AE36A}" name="Column1" dataDxfId="118">
      <calculatedColumnFormula array="1">INDEX(Tbl_P3F[Rocket name],Table29[[#This Row],[Row]])</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4B8BE3-BCA5-4822-83C9-9EA636CB1EF1}" name="TblB_P3_DD33" displayName="TblB_P3_DD33" ref="W8:X11" totalsRowShown="0">
  <autoFilter ref="W8:X11" xr:uid="{84B6F4F1-2160-41B7-B3CC-A5D9413331F8}"/>
  <tableColumns count="2">
    <tableColumn id="1" xr3:uid="{55385868-ABBD-4911-A11D-51FA90358E5D}" name="Dropdown">
      <calculatedColumnFormula>Translations!K322</calculatedColumnFormula>
    </tableColumn>
    <tableColumn id="2" xr3:uid="{8F7A4260-B83B-4022-B6B1-55FEC58F3FBA}" name="Text1">
      <calculatedColumnFormula>Translations!K325</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37F1891-3054-4D52-9D8A-97732B4BE463}" name="Table236" displayName="Table236" ref="U18:AF28" totalsRowShown="0">
  <autoFilter ref="U18:AF28" xr:uid="{E0CFF3A1-71B3-4A9A-AEF9-7F55A5D5825D}"/>
  <sortState xmlns:xlrd2="http://schemas.microsoft.com/office/spreadsheetml/2017/richdata2" ref="U19:AA28">
    <sortCondition ref="U8:U18"/>
  </sortState>
  <tableColumns count="12">
    <tableColumn id="1" xr3:uid="{70F84355-0E84-44B9-A572-FD4E4238C5B0}" name="Rocket"/>
    <tableColumn id="2" xr3:uid="{D6A3D6EE-434A-4163-AB9A-6CD7ECF0C779}" name="Year"/>
    <tableColumn id="4" xr3:uid="{672AD4D3-FCE2-48E4-911E-6D9B6EAD5615}" name="Launch Cost"/>
    <tableColumn id="3" xr3:uid="{EA3C2EB7-5C71-432D-979B-7505702C8D19}" name="Payload"/>
    <tableColumn id="6" xr3:uid="{00E0E89B-5FD9-4C5E-A4BF-0DCB5AC3C3C0}" name="Dry mass"/>
    <tableColumn id="5" xr3:uid="{D9B23898-31A5-4E12-85EA-14B09075A5CF}" name="Propellant"/>
    <tableColumn id="7" xr3:uid="{EF7243B7-8749-4216-841C-F491AFF5B9BE}" name="$/kg" dataDxfId="117">
      <calculatedColumnFormula>1000000*Table236[[#This Row],[Launch Cost]]/Table236[[#This Row],[Payload]]</calculatedColumnFormula>
    </tableColumn>
    <tableColumn id="8" xr3:uid="{639CC96F-892E-49E9-9069-49A127760DD0}" name="Payload-dry mass" dataDxfId="116">
      <calculatedColumnFormula>Table236[[#This Row],[Payload]]/SUM(Table236[[#This Row],[Payload]:[Dry mass]])</calculatedColumnFormula>
    </tableColumn>
    <tableColumn id="9" xr3:uid="{56B8A0D1-71A2-429E-9B95-C865563AA354}" name="Payload (kg)" dataDxfId="115">
      <calculatedColumnFormula>Table236[[#This Row],[Payload]]</calculatedColumnFormula>
    </tableColumn>
    <tableColumn id="10" xr3:uid="{86382689-0F94-4754-A05D-689E1F65C1AD}" name="Dry mass (kg)" dataDxfId="114">
      <calculatedColumnFormula array="1">_xlfn.SWITCH($T$7,1,Table236[[#This Row],[Dry mass]],2,Table236[[#This Row],[Dry mass]],3,NA(),4,Table236[[#This Row],[Dry mass]])</calculatedColumnFormula>
    </tableColumn>
    <tableColumn id="11" xr3:uid="{D0F8A5C1-99D8-4BA6-B5AA-1CFA3623FCA4}" name="Fuel (kg)" dataDxfId="113">
      <calculatedColumnFormula array="1">_xlfn.SWITCH($T$7,1,Table236[[#This Row],[Propellant]],2,Table236[[#This Row],[Propellant]],3,Table236[[#This Row],[Propellant]],4,NA())</calculatedColumnFormula>
    </tableColumn>
    <tableColumn id="12" xr3:uid="{17A77921-E4DB-4BA5-B634-9A196854C199}" name="$/kg2" dataDxfId="11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11B9792-B122-4E9A-93FD-487F64FB2F49}" name="TblB_P1_Steps" displayName="TblB_P1_Steps" ref="Z8:AF13" totalsRowShown="0">
  <autoFilter ref="Z8:AF13" xr:uid="{D075A734-16FE-48CF-81DD-6A433D526722}"/>
  <tableColumns count="7">
    <tableColumn id="1" xr3:uid="{35D48E26-61A7-4371-8E5D-5D61E4A2E174}" name="Dropdown">
      <calculatedColumnFormula>Translations!K328</calculatedColumnFormula>
    </tableColumn>
    <tableColumn id="2" xr3:uid="{DBD1744D-8F9B-4994-AD62-84ED8C62EF1E}" name="Text1">
      <calculatedColumnFormula>Translations!K333</calculatedColumnFormula>
    </tableColumn>
    <tableColumn id="3" xr3:uid="{A1142BF1-35C2-4713-A8BD-805A9F962F5C}" name="Img" dataDxfId="111">
      <calculatedColumnFormula array="1">IF(DD_P1_SelNum=(ROW()-ROW(TblB_P1_Steps[[#Headers],[Dropdown]:[Text1]])),1,0)</calculatedColumnFormula>
    </tableColumn>
    <tableColumn id="4" xr3:uid="{F10E9F0A-DFAA-407D-A4EC-95EC2AE3C6C4}" name="Text2">
      <calculatedColumnFormula>Translations!K338</calculatedColumnFormula>
    </tableColumn>
    <tableColumn id="5" xr3:uid="{E9405498-AE6A-4B93-81AF-0BEEA5077B65}" name="Text3" dataDxfId="110">
      <calculatedColumnFormula>TblB_P1_Steps[[#This Row],[Text1]]&amp;"
"&amp;TblB_P1_Steps[[#This Row],[Text2]]</calculatedColumnFormula>
    </tableColumn>
    <tableColumn id="6" xr3:uid="{CB3C43E1-ECBF-436E-B1F2-94FE583A74ED}" name="Green"/>
    <tableColumn id="7" xr3:uid="{3ED8BBE3-63C0-4BCE-894B-D945A626812D}" name="Red"/>
  </tableColumns>
  <tableStyleInfo name="TableStyleMedium2" showFirstColumn="0" showLastColumn="0" showRowStripes="1" showColumnStripes="0"/>
</table>
</file>

<file path=xl/theme/theme1.xml><?xml version="1.0" encoding="utf-8"?>
<a:theme xmlns:a="http://schemas.openxmlformats.org/drawingml/2006/main" name="EDU">
  <a:themeElements>
    <a:clrScheme name="Custom 1">
      <a:dk1>
        <a:srgbClr val="2F2F2F"/>
      </a:dk1>
      <a:lt1>
        <a:srgbClr val="FFFFFF"/>
      </a:lt1>
      <a:dk2>
        <a:srgbClr val="747474"/>
      </a:dk2>
      <a:lt2>
        <a:srgbClr val="F2F2F2"/>
      </a:lt2>
      <a:accent1>
        <a:srgbClr val="D83B01"/>
      </a:accent1>
      <a:accent2>
        <a:srgbClr val="008575"/>
      </a:accent2>
      <a:accent3>
        <a:srgbClr val="FFB900"/>
      </a:accent3>
      <a:accent4>
        <a:srgbClr val="0078D4"/>
      </a:accent4>
      <a:accent5>
        <a:srgbClr val="219653"/>
      </a:accent5>
      <a:accent6>
        <a:srgbClr val="8661C5"/>
      </a:accent6>
      <a:hlink>
        <a:srgbClr val="0078D4"/>
      </a:hlink>
      <a:folHlink>
        <a:srgbClr val="FFFFFF"/>
      </a:folHlink>
    </a:clrScheme>
    <a:fontScheme name="Segoe UI">
      <a:majorFont>
        <a:latin typeface="Segoe UI Semibold"/>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clubforfuture.org/mission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table" Target="../tables/table21.xml"/><Relationship Id="rId4"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drawing" Target="../drawings/drawing3.xml"/><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B717-6516-45A1-9A0C-FD2B4A5453A2}">
  <sheetPr codeName="Sheet1">
    <tabColor theme="8"/>
  </sheetPr>
  <dimension ref="A1:Y33"/>
  <sheetViews>
    <sheetView tabSelected="1" zoomScaleNormal="100" workbookViewId="0"/>
  </sheetViews>
  <sheetFormatPr defaultColWidth="0" defaultRowHeight="0" customHeight="1" zeroHeight="1"/>
  <cols>
    <col min="1" max="1" width="0.25" style="9" customWidth="1"/>
    <col min="2" max="2" width="3.125" style="9" customWidth="1"/>
    <col min="3" max="3" width="15.5" style="9" customWidth="1"/>
    <col min="4" max="10" width="12.5" style="9" customWidth="1"/>
    <col min="11" max="25" width="9.375" style="9" customWidth="1"/>
    <col min="26" max="28" width="9" style="9" hidden="1" customWidth="1"/>
    <col min="29" max="16384" width="9" style="9" hidden="1"/>
  </cols>
  <sheetData>
    <row r="1" spans="1:10" ht="18.75" customHeight="1">
      <c r="A1" s="22" t="str">
        <f>Translations!$K$257</f>
        <v xml:space="preserve">How astronauts visualize data, in partnership with NASA </v>
      </c>
    </row>
    <row r="2" spans="1:10" ht="26.25" customHeight="1">
      <c r="A2" s="22" t="str">
        <f>Translations!$K$254</f>
        <v>Hacking STEM is excited to partner with NASA to bring you the Day of Data, where you can explore how data powers our astronauts, our space missions, and our world. This self-paced Excel activity introduces you to visualizing data using charts.</v>
      </c>
      <c r="C2" s="11"/>
      <c r="D2" s="10"/>
      <c r="E2" s="10"/>
      <c r="F2" s="10"/>
      <c r="G2" s="10"/>
    </row>
    <row r="3" spans="1:10" ht="18.75" customHeight="1">
      <c r="A3" s="22" t="str">
        <f>Translations!$K$255</f>
        <v xml:space="preserve">You will work with a variety of data sets related to space, and investigate the types of charts that best help to analyze and understand the data. Complete all of the activities to earn a Space Data Badge. Good luck! </v>
      </c>
    </row>
    <row r="4" spans="1:10" ht="18.75" customHeight="1">
      <c r="A4" s="22" t="str">
        <f>Translations!$K$10</f>
        <v>Press Ctrl key plus page down key to go to the next page.</v>
      </c>
      <c r="C4" s="99" t="str">
        <f>Translations!K253</f>
        <v>How Astronauts Visualize Data</v>
      </c>
      <c r="D4" s="99"/>
      <c r="E4" s="99"/>
      <c r="F4" s="99"/>
      <c r="G4" s="99"/>
      <c r="H4" s="99"/>
      <c r="I4" s="99"/>
      <c r="J4" s="99"/>
    </row>
    <row r="5" spans="1:10" ht="18.75" customHeight="1">
      <c r="C5" s="99"/>
      <c r="D5" s="99"/>
      <c r="E5" s="99"/>
      <c r="F5" s="99"/>
      <c r="G5" s="99"/>
      <c r="H5" s="99"/>
      <c r="I5" s="99"/>
      <c r="J5" s="99"/>
    </row>
    <row r="6" spans="1:10" ht="18.75" customHeight="1"/>
    <row r="7" spans="1:10" ht="18.75" customHeight="1">
      <c r="C7" s="212" t="str">
        <f>Translations!K4</f>
        <v>In partnership with NASA</v>
      </c>
      <c r="D7" s="212"/>
      <c r="E7" s="212"/>
      <c r="F7" s="212"/>
      <c r="G7" s="212"/>
      <c r="H7" s="212"/>
      <c r="I7" s="212"/>
    </row>
    <row r="8" spans="1:10" ht="18.75" customHeight="1">
      <c r="C8" s="212"/>
      <c r="D8" s="212"/>
      <c r="E8" s="212"/>
      <c r="F8" s="212"/>
      <c r="G8" s="212"/>
      <c r="H8" s="212"/>
      <c r="I8" s="212"/>
    </row>
    <row r="9" spans="1:10" ht="18.75" customHeight="1">
      <c r="C9" s="100" t="str">
        <f>"________________
"&amp;Translations!$K$254&amp;"
"&amp;Translations!$K$255</f>
        <v xml:space="preserve">________________
Hacking STEM is excited to partner with NASA to bring you the Day of Data, where you can explore how data powers our astronauts, our space missions, and our world. This self-paced Excel activity introduces you to visualizing data using charts.
You will work with a variety of data sets related to space, and investigate the types of charts that best help to analyze and understand the data. Complete all of the activities to earn a Space Data Badge. Good luck! </v>
      </c>
      <c r="D9" s="100"/>
      <c r="E9" s="100"/>
      <c r="F9" s="100"/>
      <c r="G9" s="100"/>
      <c r="H9" s="100"/>
      <c r="I9" s="100"/>
      <c r="J9" s="100"/>
    </row>
    <row r="10" spans="1:10" ht="18.75" customHeight="1">
      <c r="C10" s="100"/>
      <c r="D10" s="100"/>
      <c r="E10" s="100"/>
      <c r="F10" s="100"/>
      <c r="G10" s="100"/>
      <c r="H10" s="100"/>
      <c r="I10" s="100"/>
      <c r="J10" s="100"/>
    </row>
    <row r="11" spans="1:10" ht="18.75" customHeight="1">
      <c r="C11" s="100"/>
      <c r="D11" s="100"/>
      <c r="E11" s="100"/>
      <c r="F11" s="100"/>
      <c r="G11" s="100"/>
      <c r="H11" s="100"/>
      <c r="I11" s="100"/>
      <c r="J11" s="100"/>
    </row>
    <row r="12" spans="1:10" ht="18.75" customHeight="1">
      <c r="C12" s="100"/>
      <c r="D12" s="100"/>
      <c r="E12" s="100"/>
      <c r="F12" s="100"/>
      <c r="G12" s="100"/>
      <c r="H12" s="100"/>
      <c r="I12" s="100"/>
      <c r="J12" s="100"/>
    </row>
    <row r="13" spans="1:10" ht="18.75" customHeight="1">
      <c r="C13" s="100"/>
      <c r="D13" s="100"/>
      <c r="E13" s="100"/>
      <c r="F13" s="100"/>
      <c r="G13" s="100"/>
      <c r="H13" s="100"/>
      <c r="I13" s="100"/>
      <c r="J13" s="100"/>
    </row>
    <row r="14" spans="1:10" ht="18.75" customHeight="1">
      <c r="C14" s="100"/>
      <c r="D14" s="100"/>
      <c r="E14" s="100"/>
      <c r="F14" s="100"/>
      <c r="G14" s="100"/>
      <c r="H14" s="100"/>
      <c r="I14" s="100"/>
      <c r="J14" s="100"/>
    </row>
    <row r="15" spans="1:10" ht="18.75" customHeight="1">
      <c r="C15" s="100"/>
      <c r="D15" s="100"/>
      <c r="E15" s="100"/>
      <c r="F15" s="100"/>
      <c r="G15" s="100"/>
      <c r="H15" s="100"/>
      <c r="I15" s="100"/>
      <c r="J15" s="100"/>
    </row>
    <row r="16" spans="1:10" ht="18.75" customHeight="1">
      <c r="C16" s="100"/>
      <c r="D16" s="100"/>
      <c r="E16" s="100"/>
      <c r="F16" s="100"/>
      <c r="G16" s="100"/>
      <c r="H16" s="100"/>
      <c r="I16" s="100"/>
      <c r="J16" s="100"/>
    </row>
    <row r="17" spans="3:10" ht="18.75" customHeight="1">
      <c r="C17" s="100"/>
      <c r="D17" s="100"/>
      <c r="E17" s="100"/>
      <c r="F17" s="100"/>
      <c r="G17" s="100"/>
      <c r="H17" s="100"/>
      <c r="I17" s="100"/>
      <c r="J17" s="100"/>
    </row>
    <row r="18" spans="3:10" ht="18.75" customHeight="1">
      <c r="C18" s="100"/>
      <c r="D18" s="100"/>
      <c r="E18" s="100"/>
      <c r="F18" s="100"/>
      <c r="G18" s="100"/>
      <c r="H18" s="100"/>
      <c r="I18" s="100"/>
      <c r="J18" s="100"/>
    </row>
    <row r="19" spans="3:10" ht="18.75" customHeight="1"/>
    <row r="20" spans="3:10" ht="18.75" customHeight="1"/>
    <row r="21" spans="3:10" ht="18.75" customHeight="1" thickBot="1">
      <c r="C21" s="95" t="str">
        <f>Translations!$K$8</f>
        <v>Select language</v>
      </c>
      <c r="D21" s="96"/>
    </row>
    <row r="22" spans="3:10" ht="18.75" customHeight="1" thickBot="1">
      <c r="C22" s="101" t="s">
        <v>0</v>
      </c>
      <c r="D22" s="102"/>
      <c r="J22" s="97" t="str">
        <f>Translations!$K$11</f>
        <v>Next</v>
      </c>
    </row>
    <row r="23" spans="3:10" ht="18.75" customHeight="1"/>
    <row r="24" spans="3:10" ht="18.75" customHeight="1"/>
    <row r="25" spans="3:10" ht="18.75" customHeight="1"/>
    <row r="26" spans="3:10" ht="18.75" customHeight="1"/>
    <row r="27" spans="3:10" ht="18.75" customHeight="1"/>
    <row r="28" spans="3:10" ht="18.75" customHeight="1"/>
    <row r="29" spans="3:10" ht="18.75" customHeight="1"/>
    <row r="30" spans="3:10" ht="18.75" customHeight="1"/>
    <row r="31" spans="3:10" ht="18.75" customHeight="1"/>
    <row r="32" spans="3:10" ht="18.75" customHeight="1"/>
    <row r="33" ht="18.75" customHeight="1"/>
  </sheetData>
  <mergeCells count="4">
    <mergeCell ref="C4:J5"/>
    <mergeCell ref="C7:I8"/>
    <mergeCell ref="C9:J18"/>
    <mergeCell ref="C22:D22"/>
  </mergeCells>
  <dataValidations count="1">
    <dataValidation type="list" allowBlank="1" showInputMessage="1" showErrorMessage="1" sqref="C22:D22" xr:uid="{EDAB42D4-5C55-4EDD-9766-E707080539BB}">
      <formula1>Languages</formula1>
    </dataValidation>
  </dataValidations>
  <hyperlinks>
    <hyperlink ref="J22" location="Contents!A1" display="Next " xr:uid="{9FF21759-9C1C-41F2-B017-8076F95021FA}"/>
  </hyperlinks>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CEEA-82C5-49F6-A3D8-6C25D3C91485}">
  <sheetPr codeName="Sheet18"/>
  <dimension ref="B1:X45"/>
  <sheetViews>
    <sheetView topLeftCell="E1" workbookViewId="0">
      <selection activeCell="T1" sqref="T1"/>
    </sheetView>
  </sheetViews>
  <sheetFormatPr defaultRowHeight="16.5"/>
  <cols>
    <col min="2" max="2" width="11.375" customWidth="1"/>
    <col min="3" max="3" width="9.75" customWidth="1"/>
    <col min="4" max="4" width="10.875" customWidth="1"/>
    <col min="5" max="5" width="10.375" customWidth="1"/>
    <col min="6" max="7" width="14.375" customWidth="1"/>
    <col min="9" max="9" width="11.25" bestFit="1" customWidth="1"/>
    <col min="11" max="11" width="11.375" customWidth="1"/>
    <col min="12" max="12" width="9.75" customWidth="1"/>
    <col min="13" max="13" width="10.875" customWidth="1"/>
    <col min="14" max="14" width="10.375" customWidth="1"/>
    <col min="15" max="15" width="14.375" customWidth="1"/>
    <col min="16" max="17" width="10.875" customWidth="1"/>
    <col min="18" max="18" width="26.875" customWidth="1"/>
  </cols>
  <sheetData>
    <row r="1" spans="2:24">
      <c r="T1">
        <f>IFERROR(MATCH('6.Visualizing with creativity'!$B$7,TblB_P3_DD3334[Dropdown],0),1)</f>
        <v>4</v>
      </c>
      <c r="X1" t="str" cm="1">
        <f t="array" ref="X1">INDEX(TblB_P3_DD3334[Chart Title],T1)</f>
        <v>Time in space by Country</v>
      </c>
    </row>
    <row r="2" spans="2:24">
      <c r="B2" t="s">
        <v>970</v>
      </c>
      <c r="C2" t="s">
        <v>237</v>
      </c>
      <c r="D2" t="s">
        <v>987</v>
      </c>
      <c r="E2" t="s">
        <v>988</v>
      </c>
      <c r="F2" t="s">
        <v>989</v>
      </c>
      <c r="G2" t="s">
        <v>990</v>
      </c>
      <c r="H2" t="s">
        <v>466</v>
      </c>
      <c r="I2" t="s">
        <v>183</v>
      </c>
      <c r="K2" t="s">
        <v>970</v>
      </c>
      <c r="L2" t="s">
        <v>237</v>
      </c>
      <c r="M2" t="s">
        <v>987</v>
      </c>
      <c r="N2" t="s">
        <v>988</v>
      </c>
      <c r="O2" t="s">
        <v>989</v>
      </c>
      <c r="P2" t="s">
        <v>991</v>
      </c>
      <c r="Q2" t="s">
        <v>992</v>
      </c>
      <c r="R2" t="s">
        <v>993</v>
      </c>
      <c r="T2" t="s">
        <v>175</v>
      </c>
      <c r="U2" t="s">
        <v>597</v>
      </c>
      <c r="V2" t="s">
        <v>933</v>
      </c>
      <c r="W2" t="s">
        <v>605</v>
      </c>
      <c r="X2" t="s">
        <v>994</v>
      </c>
    </row>
    <row r="3" spans="2:24">
      <c r="B3" t="s">
        <v>972</v>
      </c>
      <c r="C3" t="s">
        <v>973</v>
      </c>
      <c r="D3">
        <f>SUMIFS(Table24[Explorers],Table24[Country2],Table22[[#This Row],[Country]])</f>
        <v>11</v>
      </c>
      <c r="E3">
        <f>SUMIFS(Table24[Missions],Table24[Country2],Table22[[#This Row],[Country]])</f>
        <v>14</v>
      </c>
      <c r="F3" s="17">
        <f>SUMIFS(Table24[Mission Time],Table24[Country2],Table22[[#This Row],[Country]])</f>
        <v>165.35126006943028</v>
      </c>
      <c r="G3" s="16">
        <f>_xlfn.MINIFS(Table24[First time],Table24[Country2],Table22[[#This Row],[Country]])</f>
        <v>37909.041701388887</v>
      </c>
      <c r="H3" t="str" cm="1">
        <f t="array" ref="H3">INDEX(Table24[First explorer],MATCH(1,(Table24[First time]=Table22[[#This Row],[First Explorer Date]])*(Table24[Country2]=Table22[[#This Row],[Country]]),0))</f>
        <v>Yang Liwei</v>
      </c>
      <c r="I3" s="17" cm="1">
        <f t="array" ref="I3">_xlfn.SWITCH($T$1,1,Table22[[#This Row],[Explorers]],2,Table22[[#This Row],[Explorers]],3,Table22[[#This Row],[Missions]],4,Table22[[#This Row],[Mission Time]])</f>
        <v>165.35126006943028</v>
      </c>
      <c r="K3" t="s">
        <v>975</v>
      </c>
      <c r="L3" t="s">
        <v>978</v>
      </c>
      <c r="M3">
        <v>122</v>
      </c>
      <c r="N3">
        <v>274</v>
      </c>
      <c r="O3">
        <v>28406.332504398153</v>
      </c>
      <c r="P3" t="str">
        <f>_xlfn.XLOOKUP(L3,Table22[Country],Table22[Country],"Other")</f>
        <v>Russia</v>
      </c>
      <c r="Q3">
        <v>22392.254861111112</v>
      </c>
      <c r="R3" t="s">
        <v>995</v>
      </c>
      <c r="T3" t="s">
        <v>996</v>
      </c>
      <c r="U3" t="s">
        <v>997</v>
      </c>
      <c r="V3" t="e">
        <f>IF(TblB_P3_DD3334[[#This Row],[Dropdown]]='6.Visualizing with creativity'!$B$7,1,NA())</f>
        <v>#N/A</v>
      </c>
      <c r="W3" t="s">
        <v>987</v>
      </c>
      <c r="X3" t="s">
        <v>998</v>
      </c>
    </row>
    <row r="4" spans="2:24">
      <c r="B4" t="s">
        <v>972</v>
      </c>
      <c r="C4" t="s">
        <v>974</v>
      </c>
      <c r="D4">
        <f>SUMIFS(Table24[Explorers],Table24[Country2],Table22[[#This Row],[Country]])</f>
        <v>12</v>
      </c>
      <c r="E4">
        <f>SUMIFS(Table24[Missions],Table24[Country2],Table22[[#This Row],[Country]])</f>
        <v>20</v>
      </c>
      <c r="F4" s="17">
        <f>SUMIFS(Table24[Mission Time],Table24[Country2],Table22[[#This Row],[Country]])</f>
        <v>1354.7711342592593</v>
      </c>
      <c r="G4" s="16">
        <f>_xlfn.MINIFS(Table24[First time],Table24[Country2],Table22[[#This Row],[Country]])</f>
        <v>33209.342361111114</v>
      </c>
      <c r="H4" t="str" cm="1">
        <f t="array" ref="H4">INDEX(Table24[First explorer],MATCH(1,(Table24[First time]=Table22[[#This Row],[First Explorer Date]])*(Table24[Country2]=Table22[[#This Row],[Country]]),0))</f>
        <v>Toyohiro Akiyama</v>
      </c>
      <c r="I4" s="17" cm="1">
        <f t="array" ref="I4">_xlfn.SWITCH($T$1,1,Table22[[#This Row],[Explorers]],2,Table22[[#This Row],[Explorers]],3,Table22[[#This Row],[Missions]],4,Table22[[#This Row],[Mission Time]])</f>
        <v>1354.7711342592593</v>
      </c>
      <c r="K4" t="s">
        <v>979</v>
      </c>
      <c r="L4" t="s">
        <v>981</v>
      </c>
      <c r="M4">
        <v>339</v>
      </c>
      <c r="N4">
        <v>839</v>
      </c>
      <c r="O4">
        <v>20446.44159930537</v>
      </c>
      <c r="P4" t="str">
        <f>_xlfn.XLOOKUP(L4,Table22[Country],Table22[Country],"Other")</f>
        <v>United States</v>
      </c>
      <c r="Q4">
        <v>22406.607094907409</v>
      </c>
      <c r="R4" t="s">
        <v>999</v>
      </c>
      <c r="T4" t="s">
        <v>1000</v>
      </c>
      <c r="U4" t="s">
        <v>1001</v>
      </c>
      <c r="V4" t="e">
        <f>IF(TblB_P3_DD3334[[#This Row],[Dropdown]]='6.Visualizing with creativity'!$B$7,1,NA())</f>
        <v>#N/A</v>
      </c>
      <c r="W4" t="s">
        <v>987</v>
      </c>
      <c r="X4" t="s">
        <v>998</v>
      </c>
    </row>
    <row r="5" spans="2:24">
      <c r="B5" t="s">
        <v>975</v>
      </c>
      <c r="C5" t="s">
        <v>976</v>
      </c>
      <c r="D5">
        <f>SUMIFS(Table24[Explorers],Table24[Country2],Table22[[#This Row],[Country]])</f>
        <v>10</v>
      </c>
      <c r="E5">
        <f>SUMIFS(Table24[Missions],Table24[Country2],Table22[[#This Row],[Country]])</f>
        <v>18</v>
      </c>
      <c r="F5" s="17">
        <f>SUMIFS(Table24[Mission Time],Table24[Country2],Table22[[#This Row],[Country]])</f>
        <v>628.77449074073229</v>
      </c>
      <c r="G5" s="16">
        <f>_xlfn.MINIFS(Table24[First time],Table24[Country2],Table22[[#This Row],[Country]])</f>
        <v>30126.686805555557</v>
      </c>
      <c r="H5" t="str" cm="1">
        <f t="array" ref="H5">INDEX(Table24[First explorer],MATCH(1,(Table24[First time]=Table22[[#This Row],[First Explorer Date]])*(Table24[Country2]=Table22[[#This Row],[Country]]),0))</f>
        <v>Jean-Loup Chrétien</v>
      </c>
      <c r="I5" s="17" cm="1">
        <f t="array" ref="I5">_xlfn.SWITCH($T$1,1,Table22[[#This Row],[Explorers]],2,Table22[[#This Row],[Explorers]],3,Table22[[#This Row],[Missions]],4,Table22[[#This Row],[Mission Time]])</f>
        <v>628.77449074073229</v>
      </c>
      <c r="K5" t="s">
        <v>975</v>
      </c>
      <c r="L5" t="s">
        <v>1002</v>
      </c>
      <c r="M5">
        <v>1</v>
      </c>
      <c r="N5">
        <v>1</v>
      </c>
      <c r="O5">
        <v>7.9277777777788287</v>
      </c>
      <c r="P5" t="str">
        <f>_xlfn.XLOOKUP(L5,Table22[Country],Table22[Country],"Other")</f>
        <v>Other</v>
      </c>
      <c r="Q5">
        <v>28551.644560185185</v>
      </c>
      <c r="R5" t="s">
        <v>1003</v>
      </c>
      <c r="T5" t="s">
        <v>1004</v>
      </c>
      <c r="U5" t="s">
        <v>1005</v>
      </c>
      <c r="V5" t="e">
        <f>IF(TblB_P3_DD3334[[#This Row],[Dropdown]]='6.Visualizing with creativity'!$B$7,1,NA())</f>
        <v>#N/A</v>
      </c>
      <c r="W5" t="s">
        <v>988</v>
      </c>
      <c r="X5" t="s">
        <v>1006</v>
      </c>
    </row>
    <row r="6" spans="2:24">
      <c r="B6" t="s">
        <v>975</v>
      </c>
      <c r="C6" t="s">
        <v>977</v>
      </c>
      <c r="D6">
        <f>SUMIFS(Table24[Explorers],Table24[Country2],Table22[[#This Row],[Country]])</f>
        <v>11</v>
      </c>
      <c r="E6">
        <f>SUMIFS(Table24[Missions],Table24[Country2],Table22[[#This Row],[Country]])</f>
        <v>16</v>
      </c>
      <c r="F6" s="17">
        <f>SUMIFS(Table24[Mission Time],Table24[Country2],Table22[[#This Row],[Country]])</f>
        <v>854.68270833334464</v>
      </c>
      <c r="G6" s="16">
        <f>_xlfn.MINIFS(Table24[First time],Table24[Country2],Table22[[#This Row],[Country]])</f>
        <v>28728.619097222221</v>
      </c>
      <c r="H6" t="str" cm="1">
        <f t="array" ref="H6">INDEX(Table24[First explorer],MATCH(1,(Table24[First time]=Table22[[#This Row],[First Explorer Date]])*(Table24[Country2]=Table22[[#This Row],[Country]]),0))</f>
        <v>Sigmund Jähn</v>
      </c>
      <c r="I6" s="17" cm="1">
        <f t="array" ref="I6">_xlfn.SWITCH($T$1,1,Table22[[#This Row],[Explorers]],2,Table22[[#This Row],[Explorers]],3,Table22[[#This Row],[Missions]],4,Table22[[#This Row],[Mission Time]])</f>
        <v>854.68270833334464</v>
      </c>
      <c r="K6" t="s">
        <v>975</v>
      </c>
      <c r="L6" t="s">
        <v>1007</v>
      </c>
      <c r="M6">
        <v>1</v>
      </c>
      <c r="N6">
        <v>1</v>
      </c>
      <c r="O6">
        <v>7.9187500000007276</v>
      </c>
      <c r="P6" t="str">
        <f>_xlfn.XLOOKUP(L6,Table22[Country],Table22[Country],"Other")</f>
        <v>Other</v>
      </c>
      <c r="Q6">
        <v>28668.643993055557</v>
      </c>
      <c r="R6" t="s">
        <v>1008</v>
      </c>
      <c r="T6" t="s">
        <v>969</v>
      </c>
      <c r="U6" t="s">
        <v>1009</v>
      </c>
      <c r="V6">
        <f>IF(TblB_P3_DD3334[[#This Row],[Dropdown]]='6.Visualizing with creativity'!$B$7,1,NA())</f>
        <v>1</v>
      </c>
      <c r="W6" t="s">
        <v>971</v>
      </c>
      <c r="X6" t="s">
        <v>1010</v>
      </c>
    </row>
    <row r="7" spans="2:24">
      <c r="B7" t="s">
        <v>975</v>
      </c>
      <c r="C7" t="s">
        <v>978</v>
      </c>
      <c r="D7">
        <f>SUMIFS(Table24[Explorers],Table24[Country2],Table22[[#This Row],[Country]])</f>
        <v>122</v>
      </c>
      <c r="E7">
        <f>SUMIFS(Table24[Missions],Table24[Country2],Table22[[#This Row],[Country]])</f>
        <v>274</v>
      </c>
      <c r="F7" s="17">
        <f>SUMIFS(Table24[Mission Time],Table24[Country2],Table22[[#This Row],[Country]])</f>
        <v>28406.332504398153</v>
      </c>
      <c r="G7" s="16">
        <f>_xlfn.MINIFS(Table24[First time],Table24[Country2],Table22[[#This Row],[Country]])</f>
        <v>22392.254861111112</v>
      </c>
      <c r="H7" t="str" cm="1">
        <f t="array" ref="H7">INDEX(Table24[First explorer],MATCH(1,(Table24[First time]=Table22[[#This Row],[First Explorer Date]])*(Table24[Country2]=Table22[[#This Row],[Country]]),0))</f>
        <v>Yuri Gagarin</v>
      </c>
      <c r="I7" s="17" cm="1">
        <f t="array" ref="I7">_xlfn.SWITCH($T$1,1,Table22[[#This Row],[Explorers]],2,Table22[[#This Row],[Explorers]],3,Table22[[#This Row],[Missions]],4,Table22[[#This Row],[Mission Time]])</f>
        <v>28406.332504398153</v>
      </c>
      <c r="K7" t="s">
        <v>975</v>
      </c>
      <c r="L7" t="s">
        <v>977</v>
      </c>
      <c r="M7">
        <v>11</v>
      </c>
      <c r="N7">
        <v>16</v>
      </c>
      <c r="O7">
        <v>854.68270833334464</v>
      </c>
      <c r="P7" t="str">
        <f>_xlfn.XLOOKUP(L7,Table22[Country],Table22[Country],"Other")</f>
        <v>Germany</v>
      </c>
      <c r="Q7">
        <v>28728.619097222221</v>
      </c>
      <c r="R7" t="s">
        <v>1011</v>
      </c>
    </row>
    <row r="8" spans="2:24">
      <c r="B8" t="s">
        <v>979</v>
      </c>
      <c r="C8" t="s">
        <v>980</v>
      </c>
      <c r="D8">
        <f>SUMIFS(Table24[Explorers],Table24[Country2],Table22[[#This Row],[Country]])</f>
        <v>9</v>
      </c>
      <c r="E8">
        <f>SUMIFS(Table24[Missions],Table24[Country2],Table22[[#This Row],[Country]])</f>
        <v>17</v>
      </c>
      <c r="F8" s="17">
        <f>SUMIFS(Table24[Mission Time],Table24[Country2],Table22[[#This Row],[Country]])</f>
        <v>697.94023148146516</v>
      </c>
      <c r="G8" s="16">
        <f>_xlfn.MINIFS(Table24[First time],Table24[Country2],Table22[[#This Row],[Country]])</f>
        <v>30960.460416666665</v>
      </c>
      <c r="H8" t="str" cm="1">
        <f t="array" ref="H8">INDEX(Table24[First explorer],MATCH(1,(Table24[First time]=Table22[[#This Row],[First Explorer Date]])*(Table24[Country2]=Table22[[#This Row],[Country]]),0))</f>
        <v>Marc Garneau</v>
      </c>
      <c r="I8" s="17" cm="1">
        <f t="array" ref="I8">_xlfn.SWITCH($T$1,1,Table22[[#This Row],[Explorers]],2,Table22[[#This Row],[Explorers]],3,Table22[[#This Row],[Missions]],4,Table22[[#This Row],[Mission Time]])</f>
        <v>697.94023148146516</v>
      </c>
      <c r="K8" t="s">
        <v>975</v>
      </c>
      <c r="L8" t="s">
        <v>1012</v>
      </c>
      <c r="M8">
        <v>2</v>
      </c>
      <c r="N8">
        <v>2</v>
      </c>
      <c r="O8">
        <v>11.48248842592875</v>
      </c>
      <c r="P8" t="str">
        <f>_xlfn.XLOOKUP(L8,Table22[Country],Table22[Country],"Other")</f>
        <v>Other</v>
      </c>
      <c r="Q8">
        <v>28955.732337962963</v>
      </c>
      <c r="R8" t="s">
        <v>1013</v>
      </c>
    </row>
    <row r="9" spans="2:24">
      <c r="B9" t="s">
        <v>979</v>
      </c>
      <c r="C9" t="s">
        <v>981</v>
      </c>
      <c r="D9">
        <f>SUMIFS(Table24[Explorers],Table24[Country2],Table22[[#This Row],[Country]])</f>
        <v>339</v>
      </c>
      <c r="E9">
        <f>SUMIFS(Table24[Missions],Table24[Country2],Table22[[#This Row],[Country]])</f>
        <v>839</v>
      </c>
      <c r="F9" s="17">
        <f>SUMIFS(Table24[Mission Time],Table24[Country2],Table22[[#This Row],[Country]])</f>
        <v>20446.44159930537</v>
      </c>
      <c r="G9" s="16">
        <f>_xlfn.MINIFS(Table24[First time],Table24[Country2],Table22[[#This Row],[Country]])</f>
        <v>22406.607094907409</v>
      </c>
      <c r="H9" t="str" cm="1">
        <f t="array" ref="H9">INDEX(Table24[First explorer],MATCH(1,(Table24[First time]=Table22[[#This Row],[First Explorer Date]])*(Table24[Country2]=Table22[[#This Row],[Country]]),0))</f>
        <v>Alan Shepard</v>
      </c>
      <c r="I9" s="17" cm="1">
        <f t="array" ref="I9">_xlfn.SWITCH($T$1,1,Table22[[#This Row],[Explorers]],2,Table22[[#This Row],[Explorers]],3,Table22[[#This Row],[Missions]],4,Table22[[#This Row],[Mission Time]])</f>
        <v>20446.44159930537</v>
      </c>
      <c r="K9" t="s">
        <v>975</v>
      </c>
      <c r="L9" t="s">
        <v>1014</v>
      </c>
      <c r="M9">
        <v>2</v>
      </c>
      <c r="N9">
        <v>3</v>
      </c>
      <c r="O9">
        <v>34.952314814818237</v>
      </c>
      <c r="P9" t="str">
        <f>_xlfn.XLOOKUP(L9,Table22[Country],Table22[Country],"Other")</f>
        <v>Other</v>
      </c>
      <c r="Q9">
        <v>29367.763888888891</v>
      </c>
      <c r="R9" t="s">
        <v>1015</v>
      </c>
    </row>
    <row r="10" spans="2:24">
      <c r="B10" t="s">
        <v>1016</v>
      </c>
      <c r="C10" t="s">
        <v>982</v>
      </c>
      <c r="D10">
        <f>SUMIFS(Table24[Explorers],Table24[Country2],Table22[[#This Row],[Country]])</f>
        <v>55</v>
      </c>
      <c r="E10">
        <f>SUMIFS(Table24[Missions],Table24[Country2],Table22[[#This Row],[Country]])</f>
        <v>93</v>
      </c>
      <c r="F10" s="17">
        <f>SUMIFS(Table24[Mission Time],Table24[Country2],Table22[[#This Row],[Country]])</f>
        <v>3573.7094791666932</v>
      </c>
      <c r="G10" s="16">
        <f>_xlfn.MINIFS(Table24[First time],Table24[Country2],Table22[[#This Row],[Country]])</f>
        <v>28551.644560185185</v>
      </c>
      <c r="H10" t="str" cm="1">
        <f t="array" ref="H10">INDEX(Table24[First explorer],MATCH(1,(Table24[First time]=Table22[[#This Row],[First Explorer Date]])*(Table24[Country2]=Table22[[#This Row],[Country]]),0))</f>
        <v>Vladimír Remek</v>
      </c>
      <c r="I10" s="17" cm="1">
        <f t="array" ref="I10">_xlfn.SWITCH($T$1,1,Table22[[#This Row],[Explorers]],2,Table22[[#This Row],[Explorers]],3,Table22[[#This Row],[Missions]],4,Table22[[#This Row],[Mission Time]])</f>
        <v>3573.7094791666932</v>
      </c>
      <c r="K10" t="s">
        <v>972</v>
      </c>
      <c r="L10" t="s">
        <v>1017</v>
      </c>
      <c r="M10">
        <v>1</v>
      </c>
      <c r="N10">
        <v>1</v>
      </c>
      <c r="O10">
        <v>7.8617708333367773</v>
      </c>
      <c r="P10" t="str">
        <f>_xlfn.XLOOKUP(L10,Table22[Country],Table22[Country],"Other")</f>
        <v>Other</v>
      </c>
      <c r="Q10">
        <v>29425.772951388888</v>
      </c>
      <c r="R10" t="s">
        <v>1018</v>
      </c>
    </row>
    <row r="11" spans="2:24">
      <c r="K11" t="s">
        <v>979</v>
      </c>
      <c r="L11" t="s">
        <v>1019</v>
      </c>
      <c r="M11">
        <v>1</v>
      </c>
      <c r="N11">
        <v>1</v>
      </c>
      <c r="O11">
        <v>7.8631944444459805</v>
      </c>
      <c r="P11" t="str">
        <f>_xlfn.XLOOKUP(L11,Table22[Country],Table22[Country],"Other")</f>
        <v>Other</v>
      </c>
      <c r="Q11">
        <v>29482.799340277779</v>
      </c>
      <c r="R11" t="s">
        <v>1020</v>
      </c>
    </row>
    <row r="12" spans="2:24">
      <c r="K12" t="s">
        <v>972</v>
      </c>
      <c r="L12" t="s">
        <v>1021</v>
      </c>
      <c r="M12">
        <v>1</v>
      </c>
      <c r="N12">
        <v>1</v>
      </c>
      <c r="O12">
        <v>7.8624999999992724</v>
      </c>
      <c r="P12" t="str">
        <f>_xlfn.XLOOKUP(L12,Table22[Country],Table22[Country],"Other")</f>
        <v>Other</v>
      </c>
      <c r="Q12">
        <v>29667.624247685184</v>
      </c>
      <c r="R12" t="s">
        <v>1022</v>
      </c>
    </row>
    <row r="13" spans="2:24">
      <c r="K13" t="s">
        <v>975</v>
      </c>
      <c r="L13" t="s">
        <v>1023</v>
      </c>
      <c r="M13">
        <v>1</v>
      </c>
      <c r="N13">
        <v>1</v>
      </c>
      <c r="O13">
        <v>7.9041666666671517</v>
      </c>
      <c r="P13" t="str">
        <f>_xlfn.XLOOKUP(L13,Table22[Country],Table22[Country],"Other")</f>
        <v>Other</v>
      </c>
      <c r="Q13">
        <v>29720.719884259259</v>
      </c>
      <c r="R13" t="s">
        <v>1024</v>
      </c>
    </row>
    <row r="14" spans="2:24">
      <c r="K14" t="s">
        <v>975</v>
      </c>
      <c r="L14" t="s">
        <v>976</v>
      </c>
      <c r="M14">
        <v>10</v>
      </c>
      <c r="N14">
        <v>18</v>
      </c>
      <c r="O14">
        <v>628.77449074073229</v>
      </c>
      <c r="P14" t="str">
        <f>_xlfn.XLOOKUP(L14,Table22[Country],Table22[Country],"Other")</f>
        <v>France</v>
      </c>
      <c r="Q14">
        <v>30126.686805555557</v>
      </c>
      <c r="R14" t="s">
        <v>1025</v>
      </c>
    </row>
    <row r="15" spans="2:24">
      <c r="K15" t="s">
        <v>972</v>
      </c>
      <c r="L15" t="s">
        <v>1026</v>
      </c>
      <c r="M15">
        <v>3</v>
      </c>
      <c r="N15">
        <v>5</v>
      </c>
      <c r="O15">
        <v>362.2850578703692</v>
      </c>
      <c r="P15" t="str">
        <f>_xlfn.XLOOKUP(L15,Table22[Country],Table22[Country],"Other")</f>
        <v>Other</v>
      </c>
      <c r="Q15">
        <v>30775.547222222223</v>
      </c>
      <c r="R15" t="s">
        <v>1027</v>
      </c>
    </row>
    <row r="16" spans="2:24">
      <c r="K16" t="s">
        <v>979</v>
      </c>
      <c r="L16" t="s">
        <v>980</v>
      </c>
      <c r="M16">
        <v>9</v>
      </c>
      <c r="N16">
        <v>17</v>
      </c>
      <c r="O16">
        <v>697.94023148146516</v>
      </c>
      <c r="P16" t="str">
        <f>_xlfn.XLOOKUP(L16,Table22[Country],Table22[Country],"Other")</f>
        <v>Canada</v>
      </c>
      <c r="Q16">
        <v>30960.460416666665</v>
      </c>
      <c r="R16" t="s">
        <v>1028</v>
      </c>
    </row>
    <row r="17" spans="11:18">
      <c r="K17" t="s">
        <v>1029</v>
      </c>
      <c r="L17" t="s">
        <v>1030</v>
      </c>
      <c r="M17">
        <v>2</v>
      </c>
      <c r="N17">
        <v>5</v>
      </c>
      <c r="O17">
        <v>185.6126041666721</v>
      </c>
      <c r="P17" t="str">
        <f>_xlfn.XLOOKUP(L17,Table22[Country],Table22[Country],"Other")</f>
        <v>Other</v>
      </c>
      <c r="Q17">
        <v>30960.460416666665</v>
      </c>
      <c r="R17" t="s">
        <v>1031</v>
      </c>
    </row>
    <row r="18" spans="11:18">
      <c r="K18" t="s">
        <v>975</v>
      </c>
      <c r="L18" t="s">
        <v>1032</v>
      </c>
      <c r="M18">
        <v>3</v>
      </c>
      <c r="N18">
        <v>4</v>
      </c>
      <c r="O18">
        <v>217.69861111111459</v>
      </c>
      <c r="P18" t="str">
        <f>_xlfn.XLOOKUP(L18,Table22[Country],Table22[Country],"Other")</f>
        <v>Other</v>
      </c>
      <c r="Q18">
        <v>31166.668263888889</v>
      </c>
      <c r="R18" t="s">
        <v>1033</v>
      </c>
    </row>
    <row r="19" spans="11:18">
      <c r="K19" t="s">
        <v>972</v>
      </c>
      <c r="L19" t="s">
        <v>1034</v>
      </c>
      <c r="M19">
        <v>1</v>
      </c>
      <c r="N19">
        <v>1</v>
      </c>
      <c r="O19">
        <v>7.0694444444452529</v>
      </c>
      <c r="P19" t="str">
        <f>_xlfn.XLOOKUP(L19,Table22[Country],Table22[Country],"Other")</f>
        <v>Other</v>
      </c>
      <c r="Q19">
        <v>31215.481250000001</v>
      </c>
      <c r="R19" t="s">
        <v>1035</v>
      </c>
    </row>
    <row r="20" spans="11:18">
      <c r="K20" t="s">
        <v>979</v>
      </c>
      <c r="L20" t="s">
        <v>1036</v>
      </c>
      <c r="M20">
        <v>1</v>
      </c>
      <c r="N20">
        <v>1</v>
      </c>
      <c r="O20">
        <v>6.8791666666656965</v>
      </c>
      <c r="P20" t="str">
        <f>_xlfn.XLOOKUP(L20,Table22[Country],Table22[Country],"Other")</f>
        <v>Other</v>
      </c>
      <c r="Q20">
        <v>31378.020138888889</v>
      </c>
      <c r="R20" t="s">
        <v>1037</v>
      </c>
    </row>
    <row r="21" spans="11:18">
      <c r="K21" t="s">
        <v>979</v>
      </c>
      <c r="L21" t="s">
        <v>1038</v>
      </c>
      <c r="M21">
        <v>1</v>
      </c>
      <c r="N21">
        <v>7</v>
      </c>
      <c r="O21">
        <v>66.765972222216078</v>
      </c>
      <c r="P21" t="str">
        <f>_xlfn.XLOOKUP(L21,Table22[Country],Table22[Country],"Other")</f>
        <v>Other</v>
      </c>
      <c r="Q21">
        <v>31424.496527777777</v>
      </c>
      <c r="R21" t="s">
        <v>1039</v>
      </c>
    </row>
    <row r="22" spans="11:18">
      <c r="K22" t="s">
        <v>972</v>
      </c>
      <c r="L22" t="s">
        <v>1040</v>
      </c>
      <c r="M22">
        <v>1</v>
      </c>
      <c r="N22">
        <v>1</v>
      </c>
      <c r="O22">
        <v>7.9617939814816054</v>
      </c>
      <c r="P22" t="str">
        <f>_xlfn.XLOOKUP(L22,Table22[Country],Table22[Country],"Other")</f>
        <v>Other</v>
      </c>
      <c r="Q22">
        <v>31980.082835648147</v>
      </c>
      <c r="R22" t="s">
        <v>1041</v>
      </c>
    </row>
    <row r="23" spans="11:18">
      <c r="K23" t="s">
        <v>972</v>
      </c>
      <c r="L23" t="s">
        <v>1042</v>
      </c>
      <c r="M23">
        <v>1</v>
      </c>
      <c r="N23">
        <v>1</v>
      </c>
      <c r="O23">
        <v>9.1674189814802958</v>
      </c>
      <c r="P23" t="str">
        <f>_xlfn.XLOOKUP(L23,Table22[Country],Table22[Country],"Other")</f>
        <v>Other</v>
      </c>
      <c r="Q23">
        <v>32384.182766203703</v>
      </c>
      <c r="R23" t="s">
        <v>1043</v>
      </c>
    </row>
    <row r="24" spans="11:18">
      <c r="K24" t="s">
        <v>972</v>
      </c>
      <c r="L24" t="s">
        <v>1044</v>
      </c>
      <c r="M24">
        <v>1</v>
      </c>
      <c r="N24">
        <v>2</v>
      </c>
      <c r="O24">
        <v>14.079861111109494</v>
      </c>
      <c r="P24" t="str">
        <f>_xlfn.XLOOKUP(L24,Table22[Country],Table22[Country],"Other")</f>
        <v>Other</v>
      </c>
      <c r="Q24">
        <v>32580.622916666667</v>
      </c>
      <c r="R24" t="s">
        <v>1045</v>
      </c>
    </row>
    <row r="25" spans="11:18">
      <c r="K25" t="s">
        <v>972</v>
      </c>
      <c r="L25" t="s">
        <v>974</v>
      </c>
      <c r="M25">
        <v>12</v>
      </c>
      <c r="N25">
        <v>20</v>
      </c>
      <c r="O25">
        <v>1354.7711342592593</v>
      </c>
      <c r="P25" t="str">
        <f>_xlfn.XLOOKUP(L25,Table22[Country],Table22[Country],"Other")</f>
        <v>Japan</v>
      </c>
      <c r="Q25">
        <v>33209.342361111114</v>
      </c>
      <c r="R25" t="s">
        <v>1046</v>
      </c>
    </row>
    <row r="26" spans="11:18">
      <c r="K26" t="s">
        <v>975</v>
      </c>
      <c r="L26" t="s">
        <v>1047</v>
      </c>
      <c r="M26">
        <v>4</v>
      </c>
      <c r="N26">
        <v>11</v>
      </c>
      <c r="O26">
        <v>602.45340277776995</v>
      </c>
      <c r="P26" t="str">
        <f>_xlfn.XLOOKUP(L26,Table22[Country],Table22[Country],"Other")</f>
        <v>Other</v>
      </c>
      <c r="Q26">
        <v>33376.535046296296</v>
      </c>
      <c r="R26" t="s">
        <v>1048</v>
      </c>
    </row>
    <row r="27" spans="11:18">
      <c r="K27" t="s">
        <v>975</v>
      </c>
      <c r="L27" t="s">
        <v>1049</v>
      </c>
      <c r="M27">
        <v>1</v>
      </c>
      <c r="N27">
        <v>1</v>
      </c>
      <c r="O27">
        <v>7.9254629629649571</v>
      </c>
      <c r="P27" t="str">
        <f>_xlfn.XLOOKUP(L27,Table22[Country],Table22[Country],"Other")</f>
        <v>Other</v>
      </c>
      <c r="Q27">
        <v>33513.249745370369</v>
      </c>
      <c r="R27" t="s">
        <v>1050</v>
      </c>
    </row>
    <row r="28" spans="11:18">
      <c r="K28" t="s">
        <v>975</v>
      </c>
      <c r="L28" t="s">
        <v>1051</v>
      </c>
      <c r="M28">
        <v>2</v>
      </c>
      <c r="N28">
        <v>3</v>
      </c>
      <c r="O28">
        <v>207.65555555555329</v>
      </c>
      <c r="P28" t="str">
        <f>_xlfn.XLOOKUP(L28,Table22[Country],Table22[Country],"Other")</f>
        <v>Other</v>
      </c>
      <c r="Q28">
        <v>33687.551157407404</v>
      </c>
      <c r="R28" t="s">
        <v>1052</v>
      </c>
    </row>
    <row r="29" spans="11:18">
      <c r="K29" t="s">
        <v>975</v>
      </c>
      <c r="L29" t="s">
        <v>1053</v>
      </c>
      <c r="M29">
        <v>7</v>
      </c>
      <c r="N29">
        <v>13</v>
      </c>
      <c r="O29">
        <v>966.62429398149106</v>
      </c>
      <c r="P29" t="str">
        <f>_xlfn.XLOOKUP(L29,Table22[Country],Table22[Country],"Other")</f>
        <v>Other</v>
      </c>
      <c r="Q29">
        <v>33816.581111111111</v>
      </c>
      <c r="R29" t="s">
        <v>1054</v>
      </c>
    </row>
    <row r="30" spans="11:18">
      <c r="K30" t="s">
        <v>975</v>
      </c>
      <c r="L30" t="s">
        <v>1055</v>
      </c>
      <c r="M30">
        <v>1</v>
      </c>
      <c r="N30">
        <v>4</v>
      </c>
      <c r="O30">
        <v>42.505555555559113</v>
      </c>
      <c r="P30" t="str">
        <f>_xlfn.XLOOKUP(L30,Table22[Country],Table22[Country],"Other")</f>
        <v>Other</v>
      </c>
      <c r="Q30">
        <v>33816.581111111111</v>
      </c>
      <c r="R30" t="s">
        <v>1056</v>
      </c>
    </row>
    <row r="31" spans="11:18">
      <c r="K31" t="s">
        <v>972</v>
      </c>
      <c r="L31" t="s">
        <v>1057</v>
      </c>
      <c r="M31">
        <v>2</v>
      </c>
      <c r="N31">
        <v>4</v>
      </c>
      <c r="O31">
        <v>351.25156250000146</v>
      </c>
      <c r="P31" t="str">
        <f>_xlfn.XLOOKUP(L31,Table22[Country],Table22[Country],"Other")</f>
        <v>Other</v>
      </c>
      <c r="Q31">
        <v>34516.51666666667</v>
      </c>
      <c r="R31" t="s">
        <v>1058</v>
      </c>
    </row>
    <row r="32" spans="11:18">
      <c r="K32" t="s">
        <v>975</v>
      </c>
      <c r="L32" t="s">
        <v>1059</v>
      </c>
      <c r="M32">
        <v>2</v>
      </c>
      <c r="N32">
        <v>6</v>
      </c>
      <c r="O32">
        <v>275.73263888889778</v>
      </c>
      <c r="P32" t="str">
        <f>_xlfn.XLOOKUP(L32,Table22[Country],Table22[Country],"Other")</f>
        <v>Other</v>
      </c>
      <c r="Q32">
        <v>34992.578472222223</v>
      </c>
      <c r="R32" t="s">
        <v>1060</v>
      </c>
    </row>
    <row r="33" spans="11:18">
      <c r="K33" t="s">
        <v>975</v>
      </c>
      <c r="L33" t="s">
        <v>1061</v>
      </c>
      <c r="M33">
        <v>1</v>
      </c>
      <c r="N33">
        <v>1</v>
      </c>
      <c r="O33">
        <v>11.852777777778101</v>
      </c>
      <c r="P33" t="str">
        <f>_xlfn.XLOOKUP(L33,Table22[Country],Table22[Country],"Other")</f>
        <v>Other</v>
      </c>
      <c r="Q33">
        <v>35649.611805555556</v>
      </c>
      <c r="R33" t="s">
        <v>1062</v>
      </c>
    </row>
    <row r="34" spans="11:18">
      <c r="K34" t="s">
        <v>975</v>
      </c>
      <c r="L34" t="s">
        <v>1063</v>
      </c>
      <c r="M34">
        <v>1</v>
      </c>
      <c r="N34">
        <v>1</v>
      </c>
      <c r="O34">
        <v>15.690972222218988</v>
      </c>
      <c r="P34" t="str">
        <f>_xlfn.XLOOKUP(L34,Table22[Country],Table22[Country],"Other")</f>
        <v>Other</v>
      </c>
      <c r="Q34">
        <v>35753.823611111111</v>
      </c>
      <c r="R34" t="s">
        <v>1064</v>
      </c>
    </row>
    <row r="35" spans="11:18">
      <c r="K35" t="s">
        <v>975</v>
      </c>
      <c r="L35" t="s">
        <v>1065</v>
      </c>
      <c r="M35">
        <v>1</v>
      </c>
      <c r="N35">
        <v>1</v>
      </c>
      <c r="O35">
        <v>7.913888888891961</v>
      </c>
      <c r="P35" t="str">
        <f>_xlfn.XLOOKUP(L35,Table22[Country],Table22[Country],"Other")</f>
        <v>Other</v>
      </c>
      <c r="Q35">
        <v>36211.179166666669</v>
      </c>
      <c r="R35" t="s">
        <v>1066</v>
      </c>
    </row>
    <row r="36" spans="11:18">
      <c r="K36" t="s">
        <v>1067</v>
      </c>
      <c r="L36" t="s">
        <v>1068</v>
      </c>
      <c r="M36">
        <v>1</v>
      </c>
      <c r="N36">
        <v>1</v>
      </c>
      <c r="O36">
        <v>9.8923611111094942</v>
      </c>
      <c r="P36" t="str">
        <f>_xlfn.XLOOKUP(L36,Table22[Country],Table22[Country],"Other")</f>
        <v>Other</v>
      </c>
      <c r="Q36">
        <v>37371.268055555556</v>
      </c>
      <c r="R36" t="s">
        <v>1069</v>
      </c>
    </row>
    <row r="37" spans="11:18">
      <c r="K37" t="s">
        <v>972</v>
      </c>
      <c r="L37" t="s">
        <v>1070</v>
      </c>
      <c r="M37">
        <v>1</v>
      </c>
      <c r="N37">
        <v>1</v>
      </c>
      <c r="O37">
        <v>15.930555555554747</v>
      </c>
      <c r="P37" t="str">
        <f>_xlfn.XLOOKUP(L37,Table22[Country],Table22[Country],"Other")</f>
        <v>Other</v>
      </c>
      <c r="Q37">
        <v>37637.652083333334</v>
      </c>
      <c r="R37" t="s">
        <v>1071</v>
      </c>
    </row>
    <row r="38" spans="11:18">
      <c r="K38" t="s">
        <v>972</v>
      </c>
      <c r="L38" t="s">
        <v>973</v>
      </c>
      <c r="M38">
        <v>11</v>
      </c>
      <c r="N38">
        <v>14</v>
      </c>
      <c r="O38">
        <v>165.35126006943028</v>
      </c>
      <c r="P38" t="str">
        <f>_xlfn.XLOOKUP(L38,Table22[Country],Table22[Country],"Other")</f>
        <v>China</v>
      </c>
      <c r="Q38">
        <v>37909.041701388887</v>
      </c>
      <c r="R38" t="s">
        <v>1072</v>
      </c>
    </row>
    <row r="39" spans="11:18">
      <c r="K39" t="s">
        <v>1073</v>
      </c>
      <c r="L39" t="s">
        <v>1074</v>
      </c>
      <c r="M39">
        <v>1</v>
      </c>
      <c r="N39">
        <v>1</v>
      </c>
      <c r="O39">
        <v>9.8871874999967986</v>
      </c>
      <c r="P39" t="str">
        <f>_xlfn.XLOOKUP(L39,Table22[Country],Table22[Country],"Other")</f>
        <v>Other</v>
      </c>
      <c r="Q39">
        <v>38806.104398148149</v>
      </c>
      <c r="R39" t="s">
        <v>1075</v>
      </c>
    </row>
    <row r="40" spans="11:18">
      <c r="K40" t="s">
        <v>972</v>
      </c>
      <c r="L40" t="s">
        <v>1076</v>
      </c>
      <c r="M40">
        <v>1</v>
      </c>
      <c r="N40">
        <v>1</v>
      </c>
      <c r="O40">
        <v>10.87821759259532</v>
      </c>
      <c r="P40" t="str">
        <f>_xlfn.XLOOKUP(L40,Table22[Country],Table22[Country],"Other")</f>
        <v>Other</v>
      </c>
      <c r="Q40">
        <v>38978.172708333332</v>
      </c>
      <c r="R40" t="s">
        <v>1077</v>
      </c>
    </row>
    <row r="41" spans="11:18">
      <c r="K41" t="s">
        <v>975</v>
      </c>
      <c r="L41" t="s">
        <v>1078</v>
      </c>
      <c r="M41">
        <v>1</v>
      </c>
      <c r="N41">
        <v>2</v>
      </c>
      <c r="O41">
        <v>26.735416666670062</v>
      </c>
      <c r="P41" t="str">
        <f>_xlfn.XLOOKUP(L41,Table22[Country],Table22[Country],"Other")</f>
        <v>Other</v>
      </c>
      <c r="Q41">
        <v>39060.033043981479</v>
      </c>
      <c r="R41" t="s">
        <v>1079</v>
      </c>
    </row>
    <row r="42" spans="11:18">
      <c r="K42" t="s">
        <v>972</v>
      </c>
      <c r="L42" t="s">
        <v>1080</v>
      </c>
      <c r="M42">
        <v>1</v>
      </c>
      <c r="N42">
        <v>1</v>
      </c>
      <c r="O42">
        <v>10.884270833332266</v>
      </c>
      <c r="P42" t="str">
        <f>_xlfn.XLOOKUP(L42,Table22[Country],Table22[Country],"Other")</f>
        <v>Other</v>
      </c>
      <c r="Q42">
        <v>39365.557395833333</v>
      </c>
      <c r="R42" t="s">
        <v>1081</v>
      </c>
    </row>
    <row r="43" spans="11:18">
      <c r="K43" t="s">
        <v>972</v>
      </c>
      <c r="L43" t="s">
        <v>1082</v>
      </c>
      <c r="M43">
        <v>1</v>
      </c>
      <c r="N43">
        <v>1</v>
      </c>
      <c r="O43">
        <v>10.884027777778101</v>
      </c>
      <c r="P43" t="str">
        <f>_xlfn.XLOOKUP(L43,Table22[Country],Table22[Country],"Other")</f>
        <v>Other</v>
      </c>
      <c r="Q43">
        <v>39546.469895833332</v>
      </c>
      <c r="R43" t="s">
        <v>1083</v>
      </c>
    </row>
    <row r="44" spans="11:18">
      <c r="K44" t="s">
        <v>975</v>
      </c>
      <c r="L44" t="s">
        <v>1084</v>
      </c>
      <c r="M44">
        <v>1</v>
      </c>
      <c r="N44">
        <v>1</v>
      </c>
      <c r="O44">
        <v>9.8425347222218988</v>
      </c>
      <c r="P44" t="str">
        <f>_xlfn.XLOOKUP(L44,Table22[Country],Table22[Country],"Other")</f>
        <v>Other</v>
      </c>
      <c r="Q44">
        <v>42249.192847222221</v>
      </c>
      <c r="R44" t="s">
        <v>1085</v>
      </c>
    </row>
    <row r="45" spans="11:18">
      <c r="K45" t="s">
        <v>972</v>
      </c>
      <c r="L45" t="s">
        <v>1086</v>
      </c>
      <c r="M45">
        <v>1</v>
      </c>
      <c r="N45">
        <v>1</v>
      </c>
      <c r="O45">
        <v>7.8759027777778101</v>
      </c>
      <c r="P45" t="str">
        <f>_xlfn.XLOOKUP(L45,Table22[Country],Table22[Country],"Other")</f>
        <v>Other</v>
      </c>
      <c r="Q45">
        <v>43733.581736111111</v>
      </c>
      <c r="R45" t="s">
        <v>1087</v>
      </c>
    </row>
  </sheetData>
  <phoneticPr fontId="10" type="noConversion"/>
  <pageMargins left="0.7" right="0.7" top="0.75" bottom="0.75" header="0.3" footer="0.3"/>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A4A7-2679-49D6-A4E1-C8C8CB8EAB4F}">
  <sheetPr codeName="Sheet5"/>
  <dimension ref="B2:R14"/>
  <sheetViews>
    <sheetView topLeftCell="B1" workbookViewId="0">
      <selection activeCell="F3" sqref="F3"/>
    </sheetView>
  </sheetViews>
  <sheetFormatPr defaultRowHeight="16.5"/>
  <cols>
    <col min="2" max="2" width="10.625" customWidth="1"/>
    <col min="3" max="3" width="15.875" customWidth="1"/>
    <col min="4" max="4" width="28.25" customWidth="1"/>
    <col min="5" max="6" width="22.25" customWidth="1"/>
    <col min="7" max="7" width="14.625" customWidth="1"/>
    <col min="8" max="8" width="12.625" customWidth="1"/>
    <col min="9" max="9" width="10.25" customWidth="1"/>
    <col min="18" max="18" width="9.875" bestFit="1" customWidth="1"/>
  </cols>
  <sheetData>
    <row r="2" spans="2:18">
      <c r="B2" t="s">
        <v>746</v>
      </c>
      <c r="C2" t="s">
        <v>923</v>
      </c>
      <c r="D2" t="s">
        <v>250</v>
      </c>
      <c r="E2" t="s">
        <v>241</v>
      </c>
      <c r="F2" t="s">
        <v>748</v>
      </c>
      <c r="G2" t="s">
        <v>243</v>
      </c>
      <c r="H2" t="s">
        <v>1088</v>
      </c>
      <c r="I2" t="s">
        <v>750</v>
      </c>
      <c r="J2" t="s">
        <v>1089</v>
      </c>
    </row>
    <row r="3" spans="2:18">
      <c r="B3">
        <v>1</v>
      </c>
      <c r="C3" t="str">
        <f ca="1">Translations!$K$473&amp;Table16[[#This Row],[Question]]</f>
        <v>Q1</v>
      </c>
      <c r="D3" t="str">
        <f>Translations!$K$398</f>
        <v>Scatter chart</v>
      </c>
      <c r="E3" t="str">
        <f>Translations!K387</f>
        <v>Q1. Which chart can be used to visualize and calculate the trend in a set of values?</v>
      </c>
      <c r="F3" cm="1">
        <f t="array" aca="1" ref="F3" ca="1">INDIRECT("DD_Q"&amp;Table16[[#This Row],[Question]],FALSE)</f>
        <v>0</v>
      </c>
      <c r="G3" s="15" t="str">
        <f>Translations!$K$393</f>
        <v>Correct!</v>
      </c>
      <c r="H3" t="str">
        <f>Translations!$K$394</f>
        <v>Try again!</v>
      </c>
      <c r="I3" t="str" cm="1">
        <f t="array" aca="1" ref="I3" ca="1">_xlfn.SWITCH(INDIRECT("DD_Q"&amp;Table16[[#This Row],[Question]],FALSE),Table16[[#This Row],[Correct]],Table16[[#This Row],[Correct Text]],0,"",Table16[[#This Row],[Incorrect text]])</f>
        <v/>
      </c>
      <c r="J3">
        <f ca="1">IF(Table16[[#This Row],[Shown text]]=Table16[[#This Row],[Correct Text]],1,0)</f>
        <v>0</v>
      </c>
      <c r="O3" t="str">
        <f>Translations!K396</f>
        <v>Column chart</v>
      </c>
      <c r="R3" s="44">
        <v>1000</v>
      </c>
    </row>
    <row r="4" spans="2:18">
      <c r="B4">
        <v>2</v>
      </c>
      <c r="C4" t="str">
        <f ca="1">Translations!$K$473&amp;Table16[[#This Row],[Question]]</f>
        <v>Q2</v>
      </c>
      <c r="D4" t="s">
        <v>567</v>
      </c>
      <c r="E4" t="str">
        <f>Translations!K388</f>
        <v>Q2. Which rocket could carry the THIRD largest payload?</v>
      </c>
      <c r="F4" cm="1">
        <f t="array" aca="1" ref="F4" ca="1">INDIRECT("DD_Q"&amp;Table16[[#This Row],[Question]],FALSE)</f>
        <v>0</v>
      </c>
      <c r="G4" s="15" t="str">
        <f>Translations!$K$393</f>
        <v>Correct!</v>
      </c>
      <c r="H4" t="str">
        <f>Translations!$K$394</f>
        <v>Try again!</v>
      </c>
      <c r="I4" t="str" cm="1">
        <f t="array" aca="1" ref="I4" ca="1">_xlfn.SWITCH(INDIRECT("DD_Q"&amp;Table16[[#This Row],[Question]],FALSE),Table16[[#This Row],[Correct]],Table16[[#This Row],[Correct Text]],0,"",Table16[[#This Row],[Incorrect text]])</f>
        <v/>
      </c>
      <c r="J4">
        <f ca="1">IF(Table16[[#This Row],[Shown text]]=Table16[[#This Row],[Correct Text]],1,0)</f>
        <v>0</v>
      </c>
      <c r="O4" t="str">
        <f>Translations!K397</f>
        <v>Stacked column</v>
      </c>
      <c r="R4" s="44">
        <v>2000</v>
      </c>
    </row>
    <row r="5" spans="2:18">
      <c r="B5">
        <v>3</v>
      </c>
      <c r="C5" t="str">
        <f ca="1">Translations!$K$473&amp;Table16[[#This Row],[Question]]</f>
        <v>Q3</v>
      </c>
      <c r="D5" t="s">
        <v>570</v>
      </c>
      <c r="E5" t="str">
        <f>Translations!K389</f>
        <v>Q3. Which rocket has the best payload to structure ratio for sending cargo into space?</v>
      </c>
      <c r="F5" cm="1">
        <f t="array" aca="1" ref="F5" ca="1">INDIRECT("DD_Q"&amp;Table16[[#This Row],[Question]],FALSE)</f>
        <v>0</v>
      </c>
      <c r="G5" s="15" t="str">
        <f>Translations!$K$393</f>
        <v>Correct!</v>
      </c>
      <c r="H5" t="str">
        <f>Translations!$K$394</f>
        <v>Try again!</v>
      </c>
      <c r="I5" t="str" cm="1">
        <f t="array" aca="1" ref="I5" ca="1">_xlfn.SWITCH(INDIRECT("DD_Q"&amp;Table16[[#This Row],[Question]],FALSE),Table16[[#This Row],[Correct]],Table16[[#This Row],[Correct Text]],0,"",Table16[[#This Row],[Incorrect text]])</f>
        <v/>
      </c>
      <c r="J5">
        <f ca="1">IF(Table16[[#This Row],[Shown text]]=Table16[[#This Row],[Correct Text]],1,0)</f>
        <v>0</v>
      </c>
      <c r="O5" t="str">
        <f>Translations!K398</f>
        <v>Scatter chart</v>
      </c>
      <c r="R5" s="44">
        <v>3000</v>
      </c>
    </row>
    <row r="6" spans="2:18">
      <c r="B6">
        <v>4</v>
      </c>
      <c r="C6" t="str">
        <f ca="1">Translations!$K$473&amp;Table16[[#This Row],[Question]]</f>
        <v>Q4</v>
      </c>
      <c r="D6">
        <v>3000</v>
      </c>
      <c r="E6" t="str">
        <f>Translations!K390</f>
        <v>Q4. Using the given trendline, what could the Cost per kg be in 2025?</v>
      </c>
      <c r="F6" cm="1">
        <f t="array" aca="1" ref="F6" ca="1">INDIRECT("DD_Q"&amp;Table16[[#This Row],[Question]],FALSE)</f>
        <v>0</v>
      </c>
      <c r="G6" s="15" t="str">
        <f>Translations!$K$393</f>
        <v>Correct!</v>
      </c>
      <c r="H6" t="str">
        <f>Translations!$K$394</f>
        <v>Try again!</v>
      </c>
      <c r="I6" t="str" cm="1">
        <f t="array" aca="1" ref="I6" ca="1">_xlfn.SWITCH(INDIRECT("DD_Q"&amp;Table16[[#This Row],[Question]],FALSE),Table16[[#This Row],[Correct]],Table16[[#This Row],[Correct Text]],0,"",Table16[[#This Row],[Incorrect text]])</f>
        <v/>
      </c>
      <c r="J6">
        <f ca="1">IF(Table16[[#This Row],[Shown text]]=Table16[[#This Row],[Correct Text]],1,0)</f>
        <v>0</v>
      </c>
      <c r="O6" t="str">
        <f>Translations!K362</f>
        <v>Area chart</v>
      </c>
      <c r="R6" s="44">
        <v>4000</v>
      </c>
    </row>
    <row r="7" spans="2:18">
      <c r="B7">
        <v>5</v>
      </c>
      <c r="C7" t="str">
        <f ca="1">Translations!$K$473&amp;Table16[[#This Row],[Question]]</f>
        <v>Q5</v>
      </c>
      <c r="D7" t="s">
        <v>1090</v>
      </c>
      <c r="E7" t="str">
        <f>Translations!K391</f>
        <v>Q5. Using the chart, in which decade did the most people fly to space?</v>
      </c>
      <c r="F7" cm="1">
        <f t="array" aca="1" ref="F7" ca="1">INDIRECT("DD_Q"&amp;Table16[[#This Row],[Question]],FALSE)</f>
        <v>0</v>
      </c>
      <c r="G7" s="15" t="str">
        <f>Translations!$K$393</f>
        <v>Correct!</v>
      </c>
      <c r="H7" t="str">
        <f>Translations!$K$394</f>
        <v>Try again!</v>
      </c>
      <c r="I7" t="str" cm="1">
        <f t="array" aca="1" ref="I7" ca="1">_xlfn.SWITCH(INDIRECT("DD_Q"&amp;Table16[[#This Row],[Question]],FALSE),Table16[[#This Row],[Correct]],Table16[[#This Row],[Correct Text]],0,"",Table16[[#This Row],[Incorrect text]])</f>
        <v/>
      </c>
      <c r="J7">
        <f ca="1">IF(Table16[[#This Row],[Shown text]]=Table16[[#This Row],[Correct Text]],1,0)</f>
        <v>0</v>
      </c>
      <c r="O7" t="str">
        <f>Translations!K399</f>
        <v>Pie chart</v>
      </c>
      <c r="R7" s="44">
        <v>5000</v>
      </c>
    </row>
    <row r="8" spans="2:18">
      <c r="B8">
        <v>6</v>
      </c>
      <c r="C8" t="str">
        <f ca="1">Translations!$K$473&amp;Table16[[#This Row],[Question]]</f>
        <v>Q6</v>
      </c>
      <c r="D8" t="s">
        <v>1091</v>
      </c>
      <c r="E8" t="str">
        <f>Translations!K392</f>
        <v>Q6. Using the chart, in which decade did people spend the most time in space?</v>
      </c>
      <c r="F8" cm="1">
        <f t="array" aca="1" ref="F8" ca="1">INDIRECT("DD_Q"&amp;Table16[[#This Row],[Question]],FALSE)</f>
        <v>0</v>
      </c>
      <c r="G8" s="15" t="str">
        <f>Translations!$K$393</f>
        <v>Correct!</v>
      </c>
      <c r="H8" t="str">
        <f>Translations!$K$394</f>
        <v>Try again!</v>
      </c>
      <c r="I8" t="str" cm="1">
        <f t="array" aca="1" ref="I8" ca="1">_xlfn.SWITCH(INDIRECT("DD_Q"&amp;Table16[[#This Row],[Question]],FALSE),Table16[[#This Row],[Correct]],Table16[[#This Row],[Correct Text]],0,"",Table16[[#This Row],[Incorrect text]])</f>
        <v/>
      </c>
      <c r="J8">
        <f ca="1">IF(Table16[[#This Row],[Shown text]]=Table16[[#This Row],[Correct Text]],1,0)</f>
        <v>0</v>
      </c>
      <c r="M8" s="8" t="s">
        <v>1092</v>
      </c>
      <c r="O8" t="s">
        <v>1093</v>
      </c>
      <c r="R8" s="44">
        <v>6000</v>
      </c>
    </row>
    <row r="11" spans="2:18">
      <c r="J11" t="str">
        <f ca="1">IF(SUM(Table16[Correct2])=6,Translations!$K$139,Translations!$K$395)</f>
        <v>Keep going to get your Space Data Badge!</v>
      </c>
    </row>
    <row r="13" spans="2:18">
      <c r="K13" t="str">
        <f>Translations!K400</f>
        <v>CONGRATULATIONS!</v>
      </c>
      <c r="L13">
        <f ca="1">IF(SUM(Table16[Correct2])=6,1,0)</f>
        <v>0</v>
      </c>
    </row>
    <row r="14" spans="2:18">
      <c r="K14" t="str">
        <f>Translations!K401</f>
        <v>Keep answering questions!</v>
      </c>
      <c r="L14">
        <f ca="1">1-L13</f>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8C04-E26F-4983-9098-B3322C6205A3}">
  <sheetPr codeName="Sheet3">
    <tabColor rgb="FF0070C0"/>
  </sheetPr>
  <dimension ref="A1:X35"/>
  <sheetViews>
    <sheetView zoomScale="115" zoomScaleNormal="115" workbookViewId="0">
      <selection activeCell="I4" sqref="I4:J5"/>
    </sheetView>
  </sheetViews>
  <sheetFormatPr defaultColWidth="9.375" defaultRowHeight="16.5" customHeight="1" zeroHeight="1"/>
  <cols>
    <col min="1" max="1" width="0.125" style="24" customWidth="1"/>
    <col min="2" max="2" width="2.25" style="24" customWidth="1"/>
    <col min="3" max="3" width="2.5" style="2" customWidth="1"/>
    <col min="4" max="4" width="26.75" style="2" customWidth="1"/>
    <col min="5" max="10" width="15" style="2" customWidth="1"/>
    <col min="11" max="11" width="2.5" style="2" customWidth="1"/>
    <col min="12" max="12" width="2.25" style="2" customWidth="1"/>
    <col min="13" max="13" width="2.5" style="2" customWidth="1"/>
    <col min="14" max="19" width="4.5" style="2" customWidth="1"/>
    <col min="20" max="20" width="10" style="2" customWidth="1"/>
    <col min="21" max="21" width="12.5" style="2" customWidth="1"/>
    <col min="22" max="24" width="2.5" style="2" customWidth="1"/>
    <col min="25" max="35" width="0" style="2" hidden="1" customWidth="1"/>
    <col min="36" max="16384" width="9.375" style="2"/>
  </cols>
  <sheetData>
    <row r="1" spans="1:24" s="24" customFormat="1" ht="6" customHeight="1">
      <c r="A1" s="23" t="str">
        <f>C2</f>
        <v>Visualizing complex data - area charts</v>
      </c>
      <c r="B1" s="23"/>
      <c r="C1" s="2"/>
      <c r="D1" s="23"/>
      <c r="E1" s="2"/>
      <c r="F1" s="2"/>
      <c r="G1" s="2"/>
      <c r="H1" s="2"/>
      <c r="I1" s="2"/>
      <c r="J1" s="2"/>
      <c r="K1" s="2"/>
      <c r="L1" s="2"/>
      <c r="M1" s="2"/>
      <c r="N1" s="2"/>
      <c r="O1" s="2"/>
      <c r="P1" s="2"/>
      <c r="Q1" s="2"/>
      <c r="R1" s="2"/>
      <c r="S1" s="2"/>
      <c r="T1" s="2"/>
      <c r="U1" s="2"/>
      <c r="V1" s="2"/>
      <c r="W1" s="2"/>
      <c r="X1" s="2"/>
    </row>
    <row r="2" spans="1:24" ht="13.5" customHeight="1" thickBot="1">
      <c r="A2" s="23" t="str">
        <f>C4</f>
        <v>Complex questions can require more complex visualizations. Incorporate size, color, and position with stacked area charts to interpret trends in crewed spaceflight over the last 60 years!</v>
      </c>
      <c r="B2" s="2"/>
      <c r="C2" s="130" t="str">
        <f>Translations!$K$444</f>
        <v>Visualizing complex data - area charts</v>
      </c>
      <c r="D2" s="130"/>
      <c r="E2" s="130"/>
      <c r="F2" s="130"/>
      <c r="G2" s="130"/>
    </row>
    <row r="3" spans="1:24" ht="13.5" customHeight="1" thickBot="1">
      <c r="A3" s="23" t="str">
        <f>Translations!K446</f>
        <v>What is an area chart? The goal of an area chart is to show the change over time of a set of data. It taskes visualization features found in both column and scatter charts to illustrate data in a new manner.</v>
      </c>
      <c r="B3" s="2"/>
      <c r="C3" s="130"/>
      <c r="D3" s="130"/>
      <c r="E3" s="130"/>
      <c r="F3" s="130"/>
      <c r="G3" s="130"/>
      <c r="J3" s="47" t="str">
        <f>Translations!$K$155</f>
        <v>Choose ↓</v>
      </c>
      <c r="M3" s="3"/>
      <c r="N3" s="43"/>
      <c r="O3" s="43"/>
      <c r="P3" s="43"/>
      <c r="Q3" s="43"/>
      <c r="R3" s="43"/>
      <c r="S3" s="43"/>
      <c r="T3" s="43"/>
      <c r="U3" s="43"/>
      <c r="V3" s="3"/>
    </row>
    <row r="4" spans="1:24" ht="13.5" customHeight="1">
      <c r="A4" s="23" t="str">
        <f>Translations!K447</f>
        <v>Visualizing with area: While column charts primarily showed the data through size, and scatter charts through differences in position, an area chart combines the two to show how the size of the shaded areas change between different points.</v>
      </c>
      <c r="B4" s="2"/>
      <c r="C4" s="131" t="str">
        <f>Translations!$K$445</f>
        <v>Complex questions can require more complex visualizations. Incorporate size, color, and position with stacked area charts to interpret trends in crewed spaceflight over the last 60 years!</v>
      </c>
      <c r="D4" s="131"/>
      <c r="E4" s="131"/>
      <c r="F4" s="131"/>
      <c r="G4" s="131"/>
      <c r="H4" s="131"/>
      <c r="I4" s="137" t="s">
        <v>688</v>
      </c>
      <c r="J4" s="138"/>
      <c r="M4" s="3"/>
      <c r="N4" s="184" t="str">
        <f>DD_P5_Sel</f>
        <v>What is an area chart?</v>
      </c>
      <c r="O4" s="184"/>
      <c r="P4" s="184"/>
      <c r="Q4" s="184"/>
      <c r="R4" s="184"/>
      <c r="S4" s="184"/>
      <c r="T4" s="184"/>
      <c r="U4" s="184"/>
      <c r="V4" s="3"/>
    </row>
    <row r="5" spans="1:24" ht="13.5" customHeight="1" thickBot="1">
      <c r="A5" s="23" t="str">
        <f>Translations!K448</f>
        <v>Crewed missions: In this lesson, we notice how often we have launched a "crewed mission" for each of the last six decades. A crewed mission is any mission to space that carries people.</v>
      </c>
      <c r="B5" s="2"/>
      <c r="C5" s="131"/>
      <c r="D5" s="131"/>
      <c r="E5" s="131"/>
      <c r="F5" s="131"/>
      <c r="G5" s="131"/>
      <c r="H5" s="131"/>
      <c r="I5" s="139"/>
      <c r="J5" s="140"/>
      <c r="M5" s="3"/>
      <c r="N5" s="184"/>
      <c r="O5" s="184"/>
      <c r="P5" s="184"/>
      <c r="Q5" s="184"/>
      <c r="R5" s="184"/>
      <c r="S5" s="184"/>
      <c r="T5" s="184"/>
      <c r="U5" s="184"/>
      <c r="V5" s="3"/>
    </row>
    <row r="6" spans="1:24" ht="21.75" customHeight="1">
      <c r="A6" s="23" t="str">
        <f>Translations!K449</f>
        <v>Stacking with color: Introducing color into an area chart allows the visual to split into smaller components, like pieces of a puzzle. An area chart with one color could show the number of crewed missions over time. An area chart with multiple colors (multiple puzzle pieces) brings a greater focus on where the crewed missions go.</v>
      </c>
      <c r="B6" s="2"/>
      <c r="C6" s="131"/>
      <c r="D6" s="131"/>
      <c r="E6" s="131"/>
      <c r="F6" s="131"/>
      <c r="G6" s="131"/>
      <c r="H6" s="131"/>
      <c r="M6" s="3"/>
      <c r="N6" s="42"/>
      <c r="O6" s="42"/>
      <c r="P6" s="42"/>
      <c r="Q6" s="42"/>
      <c r="R6" s="42"/>
      <c r="S6" s="42"/>
      <c r="T6" s="42"/>
      <c r="U6" s="42"/>
      <c r="V6" s="3"/>
    </row>
    <row r="7" spans="1:24" ht="18" customHeight="1">
      <c r="A7" s="23" t="str">
        <f>Translations!K450</f>
        <v>Where have we gone? Splitting destinations into these five categories - earth orbit, lunar mission, Mir Space Station, International Space Station, and other space station - shows both our history of lunar travel and extended space travel. Space stations are habitats in space where crews can live for long periods of time. The Interational Space Station has now had a person in space constantly for the last 20 years!</v>
      </c>
      <c r="B7" s="2"/>
      <c r="C7" s="3"/>
      <c r="D7" s="3"/>
      <c r="E7" s="192" t="str" cm="1">
        <f t="array" ref="E7">INDEX(Tbl_P5B[Title],DD_P5_SelNum)</f>
        <v>Area chart</v>
      </c>
      <c r="F7" s="192"/>
      <c r="G7" s="192"/>
      <c r="H7" s="192"/>
      <c r="I7" s="192"/>
      <c r="J7" s="192"/>
      <c r="K7" s="3"/>
      <c r="M7" s="3"/>
      <c r="N7" s="135" t="str" cm="1">
        <f t="array" ref="N7">INDEX(Tbl_P5B[Text1],DD_P5_SelNum)</f>
        <v>The goal of an area chart, like the one seen here, is to show the change over time of a set of data. It takes visualization features found in both column and scatter charts to illustrate data in a new manner.</v>
      </c>
      <c r="O7" s="135"/>
      <c r="P7" s="135"/>
      <c r="Q7" s="135"/>
      <c r="R7" s="135"/>
      <c r="S7" s="135"/>
      <c r="T7" s="135"/>
      <c r="U7" s="135"/>
      <c r="V7" s="3"/>
    </row>
    <row r="8" spans="1:24" ht="13.5" customHeight="1">
      <c r="A8" s="23" t="str">
        <f>Translations!K451</f>
        <v>People sent to space: While the earliest spacecraft flew with just a single crewmember inside, most missions now include 2-4 people. The current record is 8 people carried to space on the same spacecraft!</v>
      </c>
      <c r="B8" s="2"/>
      <c r="C8" s="3"/>
      <c r="D8" s="3"/>
      <c r="E8" s="3"/>
      <c r="F8" s="3"/>
      <c r="G8" s="3"/>
      <c r="H8" s="3"/>
      <c r="I8" s="3"/>
      <c r="J8" s="3"/>
      <c r="K8" s="3"/>
      <c r="M8" s="3"/>
      <c r="N8" s="135"/>
      <c r="O8" s="135"/>
      <c r="P8" s="135"/>
      <c r="Q8" s="135"/>
      <c r="R8" s="135"/>
      <c r="S8" s="135"/>
      <c r="T8" s="135"/>
      <c r="U8" s="135"/>
      <c r="V8" s="3"/>
    </row>
    <row r="9" spans="1:24" ht="13.5" customHeight="1">
      <c r="A9" s="23" t="str">
        <f>Translations!K452</f>
        <v xml:space="preserve">Check your knowledge: Use the table in cells E22 to I31 to answer the two questions in cells M17 and M21. </v>
      </c>
      <c r="B9" s="2"/>
      <c r="C9" s="3"/>
      <c r="D9" s="3"/>
      <c r="E9" s="3"/>
      <c r="F9" s="3"/>
      <c r="G9" s="3"/>
      <c r="H9" s="3"/>
      <c r="I9" s="3"/>
      <c r="J9" s="3"/>
      <c r="K9" s="3"/>
      <c r="M9" s="3"/>
      <c r="N9" s="135"/>
      <c r="O9" s="135"/>
      <c r="P9" s="135"/>
      <c r="Q9" s="135"/>
      <c r="R9" s="135"/>
      <c r="S9" s="135"/>
      <c r="T9" s="135"/>
      <c r="U9" s="135"/>
      <c r="V9" s="3"/>
    </row>
    <row r="10" spans="1:24" ht="13.5" customHeight="1">
      <c r="A10" s="23" t="str">
        <f>Translations!$K$10</f>
        <v>Press Ctrl key plus page down key to go to the next page.</v>
      </c>
      <c r="B10" s="2"/>
      <c r="C10" s="3"/>
      <c r="D10" s="3"/>
      <c r="E10" s="3"/>
      <c r="F10" s="3"/>
      <c r="G10" s="3"/>
      <c r="H10" s="3"/>
      <c r="I10" s="3"/>
      <c r="J10" s="3"/>
      <c r="K10" s="3"/>
      <c r="M10" s="3"/>
      <c r="N10" s="135"/>
      <c r="O10" s="135"/>
      <c r="P10" s="135"/>
      <c r="Q10" s="135"/>
      <c r="R10" s="135"/>
      <c r="S10" s="135"/>
      <c r="T10" s="135"/>
      <c r="U10" s="135"/>
      <c r="V10" s="89"/>
    </row>
    <row r="11" spans="1:24" ht="13.5" customHeight="1">
      <c r="A11" s="23" t="str">
        <f>Translations!$K$202</f>
        <v>¡FELICIDADES! Has ganado tu insignia de datos espaciales</v>
      </c>
      <c r="B11" s="2"/>
      <c r="C11" s="3"/>
      <c r="D11" s="3"/>
      <c r="E11" s="3"/>
      <c r="F11" s="3"/>
      <c r="G11" s="3"/>
      <c r="H11" s="3"/>
      <c r="I11" s="3"/>
      <c r="J11" s="3"/>
      <c r="K11" s="3"/>
      <c r="M11" s="3"/>
      <c r="N11" s="135"/>
      <c r="O11" s="135"/>
      <c r="P11" s="135"/>
      <c r="Q11" s="135"/>
      <c r="R11" s="135"/>
      <c r="S11" s="135"/>
      <c r="T11" s="135"/>
      <c r="U11" s="135"/>
      <c r="V11" s="89"/>
    </row>
    <row r="12" spans="1:24" ht="13.5" customHeight="1" thickBot="1">
      <c r="A12" s="74" t="str">
        <f>Translations!K203</f>
        <v>If you would like to explore lesson extensions, a lesson plan, and a student journal, use the ctrl key plus page down key to move on.</v>
      </c>
      <c r="B12" s="2"/>
      <c r="C12" s="3"/>
      <c r="D12" s="3"/>
      <c r="E12" s="3"/>
      <c r="F12" s="3"/>
      <c r="G12" s="3"/>
      <c r="H12" s="3"/>
      <c r="I12" s="3"/>
      <c r="J12" s="3"/>
      <c r="K12" s="3"/>
      <c r="M12" s="56"/>
      <c r="N12" s="136"/>
      <c r="O12" s="136"/>
      <c r="P12" s="136"/>
      <c r="Q12" s="136"/>
      <c r="R12" s="136"/>
      <c r="S12" s="136"/>
      <c r="T12" s="136"/>
      <c r="U12" s="136"/>
      <c r="V12" s="55"/>
    </row>
    <row r="13" spans="1:24" ht="13.5" customHeight="1" thickTop="1">
      <c r="A13" s="2"/>
      <c r="B13" s="2"/>
      <c r="C13" s="3"/>
      <c r="D13" s="3"/>
      <c r="E13" s="3"/>
      <c r="F13" s="3"/>
      <c r="G13" s="3"/>
      <c r="H13" s="3"/>
      <c r="I13" s="3"/>
      <c r="J13" s="3"/>
      <c r="K13" s="3"/>
      <c r="M13" s="3"/>
      <c r="N13" s="185" t="str">
        <f>Translations!$K$411</f>
        <v>Done with the lesson on this page? Answer these questions!</v>
      </c>
      <c r="O13" s="185"/>
      <c r="P13" s="185"/>
      <c r="Q13" s="185"/>
      <c r="R13" s="185"/>
      <c r="S13" s="185"/>
      <c r="T13" s="185"/>
      <c r="U13" s="185"/>
      <c r="V13" s="89"/>
    </row>
    <row r="14" spans="1:24" ht="13.5" customHeight="1">
      <c r="A14" s="2"/>
      <c r="B14" s="2"/>
      <c r="C14" s="3"/>
      <c r="D14" s="3"/>
      <c r="E14" s="3"/>
      <c r="F14" s="3"/>
      <c r="G14" s="3"/>
      <c r="H14" s="3"/>
      <c r="I14" s="3"/>
      <c r="J14" s="3"/>
      <c r="K14" s="3"/>
      <c r="M14" s="3"/>
      <c r="N14" s="185"/>
      <c r="O14" s="185"/>
      <c r="P14" s="185"/>
      <c r="Q14" s="185"/>
      <c r="R14" s="185"/>
      <c r="S14" s="185"/>
      <c r="T14" s="185"/>
      <c r="U14" s="185"/>
      <c r="V14" s="89"/>
    </row>
    <row r="15" spans="1:24" ht="13.5" customHeight="1">
      <c r="A15" s="2"/>
      <c r="B15" s="2"/>
      <c r="C15" s="3"/>
      <c r="D15" s="3"/>
      <c r="E15" s="3"/>
      <c r="F15" s="3"/>
      <c r="G15" s="3"/>
      <c r="H15" s="3"/>
      <c r="I15" s="3"/>
      <c r="J15" s="3"/>
      <c r="K15" s="3"/>
      <c r="M15" s="3"/>
      <c r="N15" s="185"/>
      <c r="O15" s="185"/>
      <c r="P15" s="185"/>
      <c r="Q15" s="185"/>
      <c r="R15" s="185"/>
      <c r="S15" s="185"/>
      <c r="T15" s="185"/>
      <c r="U15" s="185"/>
      <c r="V15" s="89"/>
    </row>
    <row r="16" spans="1:24" ht="13.5" customHeight="1" thickBot="1">
      <c r="A16" s="2"/>
      <c r="B16" s="2"/>
      <c r="C16" s="3"/>
      <c r="D16" s="3"/>
      <c r="E16" s="3"/>
      <c r="F16" s="3"/>
      <c r="G16" s="3"/>
      <c r="H16" s="3"/>
      <c r="I16" s="3"/>
      <c r="J16" s="3"/>
      <c r="K16" s="3"/>
      <c r="M16" s="56"/>
      <c r="N16" s="73"/>
      <c r="O16" s="73"/>
      <c r="P16" s="73"/>
      <c r="Q16" s="73"/>
      <c r="R16" s="73"/>
      <c r="S16" s="73"/>
      <c r="T16" s="73"/>
      <c r="U16" s="73"/>
      <c r="V16" s="55"/>
    </row>
    <row r="17" spans="1:22" ht="16.5" customHeight="1" thickTop="1">
      <c r="A17" s="2"/>
      <c r="B17" s="2"/>
      <c r="C17" s="3"/>
      <c r="D17" s="3"/>
      <c r="E17" s="3"/>
      <c r="F17" s="3"/>
      <c r="G17" s="3"/>
      <c r="H17" s="3"/>
      <c r="I17" s="3"/>
      <c r="J17" s="3"/>
      <c r="K17" s="3"/>
      <c r="M17" s="3"/>
      <c r="N17" s="134" t="str">
        <f>Badge!E7</f>
        <v>Q5. Using the chart, in which decade did the most people fly to space?</v>
      </c>
      <c r="O17" s="134"/>
      <c r="P17" s="134"/>
      <c r="Q17" s="134"/>
      <c r="R17" s="134"/>
      <c r="S17" s="134"/>
      <c r="T17" s="134"/>
      <c r="U17" s="134"/>
      <c r="V17" s="3"/>
    </row>
    <row r="18" spans="1:22" ht="16.5" customHeight="1" thickBot="1">
      <c r="A18" s="2"/>
      <c r="B18" s="2"/>
      <c r="C18" s="3"/>
      <c r="D18" s="3"/>
      <c r="E18" s="3"/>
      <c r="F18" s="3"/>
      <c r="G18" s="3"/>
      <c r="H18" s="3"/>
      <c r="I18" s="3"/>
      <c r="J18" s="3"/>
      <c r="K18" s="3"/>
      <c r="M18" s="3"/>
      <c r="N18" s="134"/>
      <c r="O18" s="134"/>
      <c r="P18" s="134"/>
      <c r="Q18" s="134"/>
      <c r="R18" s="134"/>
      <c r="S18" s="134"/>
      <c r="T18" s="134"/>
      <c r="U18" s="134"/>
      <c r="V18" s="3"/>
    </row>
    <row r="19" spans="1:22" ht="10.5" customHeight="1">
      <c r="A19" s="2"/>
      <c r="B19" s="2"/>
      <c r="C19" s="3"/>
      <c r="D19" s="3"/>
      <c r="E19" s="3"/>
      <c r="F19" s="3"/>
      <c r="G19" s="3"/>
      <c r="H19" s="3"/>
      <c r="I19" s="3"/>
      <c r="J19" s="3"/>
      <c r="K19" s="3"/>
      <c r="M19" s="3"/>
      <c r="N19" s="112"/>
      <c r="O19" s="113"/>
      <c r="P19" s="113"/>
      <c r="Q19" s="113"/>
      <c r="R19" s="113"/>
      <c r="S19" s="114"/>
      <c r="T19" s="150" t="str">
        <f ca="1">Badge!$I$7</f>
        <v/>
      </c>
      <c r="U19" s="150"/>
      <c r="V19" s="3"/>
    </row>
    <row r="20" spans="1:22" ht="10.5" customHeight="1" thickBot="1">
      <c r="A20" s="2"/>
      <c r="B20" s="2"/>
      <c r="C20" s="3"/>
      <c r="D20" s="3"/>
      <c r="E20" s="3"/>
      <c r="F20" s="3"/>
      <c r="G20" s="3"/>
      <c r="H20" s="3"/>
      <c r="I20" s="3"/>
      <c r="J20" s="3"/>
      <c r="K20" s="3"/>
      <c r="M20" s="3"/>
      <c r="N20" s="115"/>
      <c r="O20" s="116"/>
      <c r="P20" s="116"/>
      <c r="Q20" s="116"/>
      <c r="R20" s="116"/>
      <c r="S20" s="117"/>
      <c r="T20" s="150"/>
      <c r="U20" s="150"/>
      <c r="V20" s="3"/>
    </row>
    <row r="21" spans="1:22" ht="16.5" customHeight="1">
      <c r="A21" s="2"/>
      <c r="B21" s="2"/>
      <c r="C21" s="3"/>
      <c r="D21" s="3"/>
      <c r="E21" s="3"/>
      <c r="F21" s="3"/>
      <c r="G21" s="3"/>
      <c r="H21" s="3"/>
      <c r="I21" s="3"/>
      <c r="J21" s="3"/>
      <c r="K21" s="3"/>
      <c r="M21" s="3"/>
      <c r="N21" s="134" t="str">
        <f>Badge!E8</f>
        <v>Q6. Using the chart, in which decade did people spend the most time in space?</v>
      </c>
      <c r="O21" s="134"/>
      <c r="P21" s="134"/>
      <c r="Q21" s="134"/>
      <c r="R21" s="134"/>
      <c r="S21" s="134"/>
      <c r="T21" s="134"/>
      <c r="U21" s="134"/>
      <c r="V21" s="3"/>
    </row>
    <row r="22" spans="1:22" ht="16.5" customHeight="1" thickBot="1">
      <c r="A22" s="2"/>
      <c r="B22" s="2"/>
      <c r="C22" s="3"/>
      <c r="D22" s="3"/>
      <c r="E22" s="3"/>
      <c r="F22" s="3"/>
      <c r="G22" s="3"/>
      <c r="H22" s="3"/>
      <c r="I22" s="3"/>
      <c r="J22" s="3"/>
      <c r="K22" s="3"/>
      <c r="M22" s="3"/>
      <c r="N22" s="134"/>
      <c r="O22" s="134"/>
      <c r="P22" s="134"/>
      <c r="Q22" s="134"/>
      <c r="R22" s="134"/>
      <c r="S22" s="134"/>
      <c r="T22" s="134"/>
      <c r="U22" s="134"/>
      <c r="V22" s="3"/>
    </row>
    <row r="23" spans="1:22" ht="21" customHeight="1" thickBot="1">
      <c r="A23" s="2"/>
      <c r="B23" s="2"/>
      <c r="C23" s="3"/>
      <c r="D23" s="3"/>
      <c r="E23" s="193" t="str" cm="1">
        <f t="array" ref="E23">INDEX(Tbl_P5B[Table desc],DD_P5_SelNum)</f>
        <v>Crewed spacecraft launched by decade and destination</v>
      </c>
      <c r="F23" s="193"/>
      <c r="G23" s="193"/>
      <c r="H23" s="193"/>
      <c r="I23" s="193"/>
      <c r="J23" s="193"/>
      <c r="K23" s="3"/>
      <c r="M23" s="3"/>
      <c r="N23" s="189"/>
      <c r="O23" s="190"/>
      <c r="P23" s="190"/>
      <c r="Q23" s="190"/>
      <c r="R23" s="190"/>
      <c r="S23" s="191"/>
      <c r="T23" s="150" t="str">
        <f ca="1">Badge!$I$8</f>
        <v/>
      </c>
      <c r="U23" s="150"/>
      <c r="V23" s="3"/>
    </row>
    <row r="24" spans="1:22" ht="18" customHeight="1">
      <c r="A24" s="2"/>
      <c r="B24" s="2"/>
      <c r="C24" s="3"/>
      <c r="D24" s="27" t="s">
        <v>736</v>
      </c>
      <c r="E24" s="27" t="s">
        <v>1094</v>
      </c>
      <c r="F24" s="27" t="s">
        <v>1095</v>
      </c>
      <c r="G24" s="27" t="s">
        <v>1096</v>
      </c>
      <c r="H24" s="27" t="s">
        <v>1090</v>
      </c>
      <c r="I24" s="27" t="s">
        <v>1097</v>
      </c>
      <c r="J24" s="27" t="s">
        <v>1091</v>
      </c>
      <c r="K24" s="3"/>
      <c r="M24" s="3"/>
      <c r="N24" s="89"/>
      <c r="O24" s="89"/>
      <c r="P24" s="89"/>
      <c r="Q24" s="89"/>
      <c r="R24" s="89"/>
      <c r="S24" s="89"/>
      <c r="T24" s="89"/>
      <c r="U24" s="3"/>
      <c r="V24" s="3"/>
    </row>
    <row r="25" spans="1:22" ht="13.5" customHeight="1">
      <c r="A25" s="2"/>
      <c r="B25" s="2"/>
      <c r="C25" s="3"/>
      <c r="D25" s="27" t="str">
        <f>Translations!$K$350</f>
        <v>Earth Orbit</v>
      </c>
      <c r="E25" s="29" cm="1">
        <f t="array" ref="E25">INDEX(Tbl_Ex2_Data[],MATCH(LEFT(E$24,4)&amp;"-"&amp;Tbl_P5F[[#This Row],[Destination]],Tbl_Ex2_Data[year Dest],0),INDEX(Tbl_P5B[Column],DD_P5_SelNum))</f>
        <v>31</v>
      </c>
      <c r="F25" s="29" cm="1">
        <f t="array" ref="F25">INDEX(Tbl_Ex2_Data[],MATCH(LEFT(F$24,4)&amp;"-"&amp;Tbl_P5F[[#This Row],[Destination]],Tbl_Ex2_Data[year Dest],0),INDEX(Tbl_P5B[Column],DD_P5_SelNum))</f>
        <v>11</v>
      </c>
      <c r="G25" s="29" cm="1">
        <f t="array" ref="G25">INDEX(Tbl_Ex2_Data[],MATCH(LEFT(G$24,4)&amp;"-"&amp;Tbl_P5F[[#This Row],[Destination]],Tbl_Ex2_Data[year Dest],0),INDEX(Tbl_P5B[Column],DD_P5_SelNum))</f>
        <v>32</v>
      </c>
      <c r="H25" s="29" cm="1">
        <f t="array" ref="H25">INDEX(Tbl_Ex2_Data[],MATCH(LEFT(H$24,4)&amp;"-"&amp;Tbl_P5F[[#This Row],[Destination]],Tbl_Ex2_Data[year Dest],0),INDEX(Tbl_P5B[Column],DD_P5_SelNum))</f>
        <v>53</v>
      </c>
      <c r="I25" s="29" cm="1">
        <f t="array" ref="I25">INDEX(Tbl_Ex2_Data[],MATCH(LEFT(I$24,4)&amp;"-"&amp;Tbl_P5F[[#This Row],[Destination]],Tbl_Ex2_Data[year Dest],0),INDEX(Tbl_P5B[Column],DD_P5_SelNum))</f>
        <v>7</v>
      </c>
      <c r="J25" s="29" cm="1">
        <f t="array" ref="J25">INDEX(Tbl_Ex2_Data[],MATCH(LEFT(J$24,4)&amp;"-"&amp;Tbl_P5F[[#This Row],[Destination]],Tbl_Ex2_Data[year Dest],0),INDEX(Tbl_P5B[Column],DD_P5_SelNum))</f>
        <v>0</v>
      </c>
      <c r="K25" s="3"/>
    </row>
    <row r="26" spans="1:22" ht="13.5" customHeight="1">
      <c r="A26" s="2"/>
      <c r="B26" s="2"/>
      <c r="C26" s="3"/>
      <c r="D26" s="27" t="str">
        <f>Translations!$K$351</f>
        <v>Lunar Mission</v>
      </c>
      <c r="E26" s="29" cm="1">
        <f t="array" ref="E26">INDEX(Tbl_Ex2_Data[],MATCH(LEFT(E$24,4)&amp;"-"&amp;Tbl_P5F[[#This Row],[Destination]],Tbl_Ex2_Data[year Dest],0),INDEX(Tbl_P5B[Column],DD_P5_SelNum))</f>
        <v>4</v>
      </c>
      <c r="F26" s="29" cm="1">
        <f t="array" ref="F26">INDEX(Tbl_Ex2_Data[],MATCH(LEFT(F$24,4)&amp;"-"&amp;Tbl_P5F[[#This Row],[Destination]],Tbl_Ex2_Data[year Dest],0),INDEX(Tbl_P5B[Column],DD_P5_SelNum))</f>
        <v>5</v>
      </c>
      <c r="G26" s="29" cm="1">
        <f t="array" ref="G26">INDEX(Tbl_Ex2_Data[],MATCH(LEFT(G$24,4)&amp;"-"&amp;Tbl_P5F[[#This Row],[Destination]],Tbl_Ex2_Data[year Dest],0),INDEX(Tbl_P5B[Column],DD_P5_SelNum))</f>
        <v>0</v>
      </c>
      <c r="H26" s="29" cm="1">
        <f t="array" ref="H26">INDEX(Tbl_Ex2_Data[],MATCH(LEFT(H$24,4)&amp;"-"&amp;Tbl_P5F[[#This Row],[Destination]],Tbl_Ex2_Data[year Dest],0),INDEX(Tbl_P5B[Column],DD_P5_SelNum))</f>
        <v>0</v>
      </c>
      <c r="I26" s="29" cm="1">
        <f t="array" ref="I26">INDEX(Tbl_Ex2_Data[],MATCH(LEFT(I$24,4)&amp;"-"&amp;Tbl_P5F[[#This Row],[Destination]],Tbl_Ex2_Data[year Dest],0),INDEX(Tbl_P5B[Column],DD_P5_SelNum))</f>
        <v>0</v>
      </c>
      <c r="J26" s="29" cm="1">
        <f t="array" ref="J26">INDEX(Tbl_Ex2_Data[],MATCH(LEFT(J$24,4)&amp;"-"&amp;Tbl_P5F[[#This Row],[Destination]],Tbl_Ex2_Data[year Dest],0),INDEX(Tbl_P5B[Column],DD_P5_SelNum))</f>
        <v>0</v>
      </c>
      <c r="K26" s="3"/>
      <c r="M26" s="3"/>
      <c r="N26" s="129" t="str">
        <f ca="1">Badge!$J$11</f>
        <v>Keep going to get your Space Data Badge!</v>
      </c>
      <c r="O26" s="129"/>
      <c r="P26" s="129"/>
      <c r="Q26" s="129"/>
      <c r="R26" s="129"/>
      <c r="S26" s="129"/>
      <c r="T26" s="129"/>
      <c r="U26" s="129"/>
      <c r="V26" s="3"/>
    </row>
    <row r="27" spans="1:22" ht="13.5" customHeight="1">
      <c r="A27" s="2"/>
      <c r="B27" s="2"/>
      <c r="C27" s="3"/>
      <c r="D27" s="27" t="str">
        <f>Translations!$K$352</f>
        <v>Other Space Station</v>
      </c>
      <c r="E27" s="29" cm="1">
        <f t="array" ref="E27">INDEX(Tbl_Ex2_Data[],MATCH(LEFT(E$24,4)&amp;"-"&amp;Tbl_P5F[[#This Row],[Destination]],Tbl_Ex2_Data[year Dest],0),INDEX(Tbl_P5B[Column],DD_P5_SelNum))</f>
        <v>0</v>
      </c>
      <c r="F27" s="29" cm="1">
        <f t="array" ref="F27">INDEX(Tbl_Ex2_Data[],MATCH(LEFT(F$24,4)&amp;"-"&amp;Tbl_P5F[[#This Row],[Destination]],Tbl_Ex2_Data[year Dest],0),INDEX(Tbl_P5B[Column],DD_P5_SelNum))</f>
        <v>18</v>
      </c>
      <c r="G27" s="29" cm="1">
        <f t="array" ref="G27">INDEX(Tbl_Ex2_Data[],MATCH(LEFT(G$24,4)&amp;"-"&amp;Tbl_P5F[[#This Row],[Destination]],Tbl_Ex2_Data[year Dest],0),INDEX(Tbl_P5B[Column],DD_P5_SelNum))</f>
        <v>18</v>
      </c>
      <c r="H27" s="29" cm="1">
        <f t="array" ref="H27">INDEX(Tbl_Ex2_Data[],MATCH(LEFT(H$24,4)&amp;"-"&amp;Tbl_P5F[[#This Row],[Destination]],Tbl_Ex2_Data[year Dest],0),INDEX(Tbl_P5B[Column],DD_P5_SelNum))</f>
        <v>0</v>
      </c>
      <c r="I27" s="29" cm="1">
        <f t="array" ref="I27">INDEX(Tbl_Ex2_Data[],MATCH(LEFT(I$24,4)&amp;"-"&amp;Tbl_P5F[[#This Row],[Destination]],Tbl_Ex2_Data[year Dest],0),INDEX(Tbl_P5B[Column],DD_P5_SelNum))</f>
        <v>0</v>
      </c>
      <c r="J27" s="29" cm="1">
        <f t="array" ref="J27">INDEX(Tbl_Ex2_Data[],MATCH(LEFT(J$24,4)&amp;"-"&amp;Tbl_P5F[[#This Row],[Destination]],Tbl_Ex2_Data[year Dest],0),INDEX(Tbl_P5B[Column],DD_P5_SelNum))</f>
        <v>3</v>
      </c>
      <c r="K27" s="3"/>
      <c r="M27" s="3"/>
      <c r="N27" s="129"/>
      <c r="O27" s="129"/>
      <c r="P27" s="129"/>
      <c r="Q27" s="129"/>
      <c r="R27" s="129"/>
      <c r="S27" s="129"/>
      <c r="T27" s="129"/>
      <c r="U27" s="129"/>
      <c r="V27" s="3"/>
    </row>
    <row r="28" spans="1:22" ht="13.5" customHeight="1" thickBot="1">
      <c r="A28" s="2"/>
      <c r="B28" s="2"/>
      <c r="C28" s="3"/>
      <c r="D28" s="27" t="str">
        <f>Translations!$K$353</f>
        <v>Mir Space Station</v>
      </c>
      <c r="E28" s="29" cm="1">
        <f t="array" ref="E28">INDEX(Tbl_Ex2_Data[],MATCH(LEFT(E$24,4)&amp;"-"&amp;Tbl_P5F[[#This Row],[Destination]],Tbl_Ex2_Data[year Dest],0),INDEX(Tbl_P5B[Column],DD_P5_SelNum))</f>
        <v>0</v>
      </c>
      <c r="F28" s="29" cm="1">
        <f t="array" ref="F28">INDEX(Tbl_Ex2_Data[],MATCH(LEFT(F$24,4)&amp;"-"&amp;Tbl_P5F[[#This Row],[Destination]],Tbl_Ex2_Data[year Dest],0),INDEX(Tbl_P5B[Column],DD_P5_SelNum))</f>
        <v>0</v>
      </c>
      <c r="G28" s="29" cm="1">
        <f t="array" ref="G28">INDEX(Tbl_Ex2_Data[],MATCH(LEFT(G$24,4)&amp;"-"&amp;Tbl_P5F[[#This Row],[Destination]],Tbl_Ex2_Data[year Dest],0),INDEX(Tbl_P5B[Column],DD_P5_SelNum))</f>
        <v>8</v>
      </c>
      <c r="H28" s="29" cm="1">
        <f t="array" ref="H28">INDEX(Tbl_Ex2_Data[],MATCH(LEFT(H$24,4)&amp;"-"&amp;Tbl_P5F[[#This Row],[Destination]],Tbl_Ex2_Data[year Dest],0),INDEX(Tbl_P5B[Column],DD_P5_SelNum))</f>
        <v>30</v>
      </c>
      <c r="I28" s="29" cm="1">
        <f t="array" ref="I28">INDEX(Tbl_Ex2_Data[],MATCH(LEFT(I$24,4)&amp;"-"&amp;Tbl_P5F[[#This Row],[Destination]],Tbl_Ex2_Data[year Dest],0),INDEX(Tbl_P5B[Column],DD_P5_SelNum))</f>
        <v>1</v>
      </c>
      <c r="J28" s="29" cm="1">
        <f t="array" ref="J28">INDEX(Tbl_Ex2_Data[],MATCH(LEFT(J$24,4)&amp;"-"&amp;Tbl_P5F[[#This Row],[Destination]],Tbl_Ex2_Data[year Dest],0),INDEX(Tbl_P5B[Column],DD_P5_SelNum))</f>
        <v>0</v>
      </c>
      <c r="K28" s="3"/>
      <c r="M28" s="3"/>
      <c r="N28" s="129"/>
      <c r="O28" s="129"/>
      <c r="P28" s="129"/>
      <c r="Q28" s="129"/>
      <c r="R28" s="129"/>
      <c r="S28" s="129"/>
      <c r="T28" s="129"/>
      <c r="U28" s="129"/>
      <c r="V28" s="3"/>
    </row>
    <row r="29" spans="1:22" ht="13.5" customHeight="1" thickBot="1">
      <c r="A29" s="2"/>
      <c r="B29" s="2"/>
      <c r="C29" s="3"/>
      <c r="D29" s="27" t="str">
        <f>Translations!$K$354</f>
        <v>International Space Station</v>
      </c>
      <c r="E29" s="29" cm="1">
        <f t="array" ref="E29">INDEX(Tbl_Ex2_Data[],MATCH(LEFT(E$24,4)&amp;"-"&amp;Tbl_P5F[[#This Row],[Destination]],Tbl_Ex2_Data[year Dest],0),INDEX(Tbl_P5B[Column],DD_P5_SelNum))</f>
        <v>0</v>
      </c>
      <c r="F29" s="29" cm="1">
        <f t="array" ref="F29">INDEX(Tbl_Ex2_Data[],MATCH(LEFT(F$24,4)&amp;"-"&amp;Tbl_P5F[[#This Row],[Destination]],Tbl_Ex2_Data[year Dest],0),INDEX(Tbl_P5B[Column],DD_P5_SelNum))</f>
        <v>0</v>
      </c>
      <c r="G29" s="29" cm="1">
        <f t="array" ref="G29">INDEX(Tbl_Ex2_Data[],MATCH(LEFT(G$24,4)&amp;"-"&amp;Tbl_P5F[[#This Row],[Destination]],Tbl_Ex2_Data[year Dest],0),INDEX(Tbl_P5B[Column],DD_P5_SelNum))</f>
        <v>0</v>
      </c>
      <c r="H29" s="29" cm="1">
        <f t="array" ref="H29">INDEX(Tbl_Ex2_Data[],MATCH(LEFT(H$24,4)&amp;"-"&amp;Tbl_P5F[[#This Row],[Destination]],Tbl_Ex2_Data[year Dest],0),INDEX(Tbl_P5B[Column],DD_P5_SelNum))</f>
        <v>2</v>
      </c>
      <c r="I29" s="29" cm="1">
        <f t="array" ref="I29">INDEX(Tbl_Ex2_Data[],MATCH(LEFT(I$24,4)&amp;"-"&amp;Tbl_P5F[[#This Row],[Destination]],Tbl_Ex2_Data[year Dest],0),INDEX(Tbl_P5B[Column],DD_P5_SelNum))</f>
        <v>50</v>
      </c>
      <c r="J29" s="29" cm="1">
        <f t="array" ref="J29">INDEX(Tbl_Ex2_Data[],MATCH(LEFT(J$24,4)&amp;"-"&amp;Tbl_P5F[[#This Row],[Destination]],Tbl_Ex2_Data[year Dest],0),INDEX(Tbl_P5B[Column],DD_P5_SelNum))</f>
        <v>44</v>
      </c>
      <c r="K29" s="3"/>
      <c r="M29" s="3"/>
      <c r="N29" s="125" t="str">
        <f ca="1">Badge!$C$3</f>
        <v>Q1</v>
      </c>
      <c r="O29" s="127" t="str">
        <f ca="1">Badge!$C$4</f>
        <v>Q2</v>
      </c>
      <c r="P29" s="127" t="str">
        <f ca="1">Badge!$C$5</f>
        <v>Q3</v>
      </c>
      <c r="Q29" s="127" t="str">
        <f ca="1">Badge!$C$6</f>
        <v>Q4</v>
      </c>
      <c r="R29" s="127" t="str">
        <f ca="1">Badge!$C$7</f>
        <v>Q5</v>
      </c>
      <c r="S29" s="187" t="str">
        <f ca="1">Badge!$C$8</f>
        <v>Q6</v>
      </c>
      <c r="T29" s="31"/>
      <c r="U29" s="186" t="str">
        <f>Translations!$K$11</f>
        <v>Next</v>
      </c>
      <c r="V29" s="3"/>
    </row>
    <row r="30" spans="1:22" ht="13.5" customHeight="1" thickBot="1">
      <c r="A30" s="2"/>
      <c r="B30" s="2"/>
      <c r="C30" s="3"/>
      <c r="D30" s="27" t="s">
        <v>884</v>
      </c>
      <c r="E30" s="29">
        <f>SUM(Tbl_P5F[1960s])</f>
        <v>35</v>
      </c>
      <c r="F30" s="29">
        <f>SUM(Tbl_P5F[1970s])</f>
        <v>34</v>
      </c>
      <c r="G30" s="29">
        <f>SUM(Tbl_P5F[1980s])</f>
        <v>58</v>
      </c>
      <c r="H30" s="29">
        <f>SUM(Tbl_P5F[1990s])</f>
        <v>85</v>
      </c>
      <c r="I30" s="29">
        <f>SUM(Tbl_P5F[2000s])</f>
        <v>58</v>
      </c>
      <c r="J30" s="29">
        <f>SUM(Tbl_P5F[2010s])</f>
        <v>47</v>
      </c>
      <c r="K30" s="3"/>
      <c r="M30" s="3"/>
      <c r="N30" s="126"/>
      <c r="O30" s="128"/>
      <c r="P30" s="128"/>
      <c r="Q30" s="128"/>
      <c r="R30" s="128"/>
      <c r="S30" s="188"/>
      <c r="T30" s="3"/>
      <c r="U30" s="186"/>
      <c r="V30" s="3"/>
    </row>
    <row r="31" spans="1:22" ht="13.5" customHeight="1">
      <c r="A31" s="2"/>
      <c r="B31" s="2"/>
      <c r="C31" s="3"/>
      <c r="D31" s="3"/>
      <c r="E31" s="3"/>
      <c r="F31" s="3"/>
      <c r="G31" s="3"/>
      <c r="H31" s="3"/>
      <c r="I31" s="3"/>
      <c r="J31" s="3"/>
      <c r="K31" s="3"/>
      <c r="M31" s="3"/>
      <c r="N31" s="3"/>
      <c r="O31" s="3"/>
      <c r="P31" s="3"/>
      <c r="Q31" s="3"/>
      <c r="R31" s="3"/>
      <c r="S31" s="3"/>
      <c r="T31" s="3"/>
      <c r="U31" s="3"/>
      <c r="V31" s="3"/>
    </row>
    <row r="32" spans="1:22" ht="15" customHeight="1">
      <c r="A32" s="2"/>
      <c r="B32" s="2"/>
    </row>
    <row r="33" spans="1:2">
      <c r="A33" s="2"/>
      <c r="B33" s="2"/>
    </row>
    <row r="34" spans="1:2" ht="16.5" customHeight="1"/>
    <row r="35" spans="1:2" ht="16.5" customHeight="1"/>
  </sheetData>
  <mergeCells count="22">
    <mergeCell ref="T23:U23"/>
    <mergeCell ref="C2:G3"/>
    <mergeCell ref="C4:H6"/>
    <mergeCell ref="I4:J5"/>
    <mergeCell ref="E7:J7"/>
    <mergeCell ref="E23:J23"/>
    <mergeCell ref="N26:U28"/>
    <mergeCell ref="N4:U5"/>
    <mergeCell ref="N7:U12"/>
    <mergeCell ref="N13:U15"/>
    <mergeCell ref="U29:U30"/>
    <mergeCell ref="N29:N30"/>
    <mergeCell ref="O29:O30"/>
    <mergeCell ref="P29:P30"/>
    <mergeCell ref="Q29:Q30"/>
    <mergeCell ref="S29:S30"/>
    <mergeCell ref="R29:R30"/>
    <mergeCell ref="N17:U18"/>
    <mergeCell ref="N19:S20"/>
    <mergeCell ref="T19:U20"/>
    <mergeCell ref="N21:U22"/>
    <mergeCell ref="N23:S23"/>
  </mergeCells>
  <dataValidations count="1">
    <dataValidation type="list" allowBlank="1" showInputMessage="1" showErrorMessage="1" sqref="N19:S20 N23:S23" xr:uid="{E7C71A54-6BFE-4F2D-B71C-075BA82F43ED}">
      <formula1>$E$24:$J$24</formula1>
    </dataValidation>
  </dataValidations>
  <hyperlinks>
    <hyperlink ref="U29:U30" location="Certificate!A1" display="Next" xr:uid="{E3E5CCF7-84BD-4463-A3C4-08F8D221B196}"/>
  </hyperlink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4" id="{539D712B-A2EF-4D5A-A25C-EF9EFD058585}">
            <xm:f>Badge!$I$7=Badge!$H$7</xm:f>
            <x14:dxf>
              <font>
                <color theme="4" tint="-0.499984740745262"/>
              </font>
              <fill>
                <patternFill>
                  <bgColor theme="4" tint="0.79998168889431442"/>
                </patternFill>
              </fill>
            </x14:dxf>
          </x14:cfRule>
          <x14:cfRule type="expression" priority="5" id="{36121799-F4A5-41E5-B7FF-3C58F7E695BE}">
            <xm:f>Badge!$I$7=Badge!$G$7</xm:f>
            <x14:dxf>
              <font>
                <color theme="8" tint="-0.499984740745262"/>
              </font>
              <fill>
                <patternFill>
                  <bgColor theme="8" tint="0.79998168889431442"/>
                </patternFill>
              </fill>
            </x14:dxf>
          </x14:cfRule>
          <xm:sqref>T19</xm:sqref>
        </x14:conditionalFormatting>
        <x14:conditionalFormatting xmlns:xm="http://schemas.microsoft.com/office/excel/2006/main">
          <x14:cfRule type="expression" priority="2" id="{01F0F4C7-7A3D-43D5-9904-F4644DDA8436}">
            <xm:f>Badge!$I$8=Badge!$H$8</xm:f>
            <x14:dxf>
              <font>
                <color theme="4" tint="-0.499984740745262"/>
              </font>
              <fill>
                <patternFill>
                  <bgColor theme="4" tint="0.79998168889431442"/>
                </patternFill>
              </fill>
            </x14:dxf>
          </x14:cfRule>
          <x14:cfRule type="expression" priority="3" id="{B4E0DAA9-6594-4922-9CA7-6BC41C829D5B}">
            <xm:f>Badge!$I$8=Badge!$G$8</xm:f>
            <x14:dxf>
              <font>
                <color theme="8" tint="-0.499984740745262"/>
              </font>
              <fill>
                <patternFill>
                  <bgColor theme="8" tint="0.79998168889431442"/>
                </patternFill>
              </fill>
            </x14:dxf>
          </x14:cfRule>
          <xm:sqref>T23</xm:sqref>
        </x14:conditionalFormatting>
        <x14:conditionalFormatting xmlns:xm="http://schemas.microsoft.com/office/excel/2006/main">
          <x14:cfRule type="expression" priority="33" id="{DD6198B7-EACF-483B-8D19-AAFBF3423E04}">
            <xm:f>_xlfn.XLOOKUP(M29,Badge!$C$3:$C$8,Badge!$J$3:$J$8)=0</xm:f>
            <x14:dxf>
              <font>
                <color theme="3"/>
              </font>
              <fill>
                <patternFill>
                  <bgColor rgb="FFE0E0E0"/>
                </patternFill>
              </fill>
            </x14:dxf>
          </x14:cfRule>
          <x14:cfRule type="expression" priority="34" id="{A03850AB-7516-4C1C-87BD-83E0A637E5EB}">
            <xm:f>_xlfn.XLOOKUP(M29,Badge!$C$3:$C$8,Badge!$J$3:$J$8)=1</xm:f>
            <x14:dxf>
              <font>
                <color theme="0"/>
              </font>
              <fill>
                <patternFill>
                  <bgColor theme="5"/>
                </patternFill>
              </fill>
            </x14:dxf>
          </x14:cfRule>
          <xm:sqref>M29:S30</xm:sqref>
        </x14:conditionalFormatting>
        <x14:conditionalFormatting xmlns:xm="http://schemas.microsoft.com/office/excel/2006/main">
          <x14:cfRule type="expression" priority="1" id="{F4EE48C5-0C58-4502-80D4-D1119C8E6EB6}">
            <xm:f>SUM(Badge!$J$7,Badge!$J$8)&lt;2</xm:f>
            <x14:dxf>
              <font>
                <color theme="3"/>
              </font>
              <fill>
                <patternFill>
                  <bgColor rgb="FFE0E0E0"/>
                </patternFill>
              </fill>
            </x14:dxf>
          </x14:cfRule>
          <xm:sqref>U29:U30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DA8A650-794A-4A07-80F7-867B9950B5D0}">
          <x14:formula1>
            <xm:f>'Backend P5'!$I$4:$I$10</xm:f>
          </x14:formula1>
          <xm:sqref>I4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18EFA-D7B6-4754-A824-F151A55F7C55}">
  <sheetPr codeName="Sheet4">
    <tabColor theme="5"/>
  </sheetPr>
  <dimension ref="A1:T23"/>
  <sheetViews>
    <sheetView showGridLines="0" zoomScale="130" zoomScaleNormal="130" workbookViewId="0">
      <selection activeCell="I17" sqref="I17:S17"/>
    </sheetView>
  </sheetViews>
  <sheetFormatPr defaultColWidth="0" defaultRowHeight="18.75" customHeight="1" zeroHeight="1"/>
  <cols>
    <col min="1" max="2" width="3.125" style="2" customWidth="1"/>
    <col min="3" max="18" width="6.25" style="2" customWidth="1"/>
    <col min="19" max="20" width="3.125" style="2" customWidth="1"/>
    <col min="21" max="16384" width="6.25" style="2" hidden="1"/>
  </cols>
  <sheetData>
    <row r="1" spans="1:20" ht="18.75" customHeight="1">
      <c r="A1" s="3"/>
      <c r="B1" s="3"/>
      <c r="C1" s="3"/>
      <c r="D1" s="3"/>
      <c r="E1" s="3"/>
      <c r="F1" s="3"/>
      <c r="G1" s="3"/>
      <c r="H1" s="3"/>
      <c r="I1" s="3"/>
      <c r="J1" s="3"/>
      <c r="K1" s="3"/>
      <c r="L1" s="3"/>
      <c r="M1" s="3"/>
      <c r="N1" s="3"/>
      <c r="O1" s="3"/>
      <c r="P1" s="3"/>
      <c r="Q1" s="3"/>
      <c r="R1" s="3"/>
      <c r="S1" s="3"/>
      <c r="T1" s="3"/>
    </row>
    <row r="2" spans="1:20" ht="18.75" customHeight="1">
      <c r="A2" s="3"/>
      <c r="B2" s="85"/>
      <c r="C2" s="85"/>
      <c r="D2" s="85"/>
      <c r="E2" s="85"/>
      <c r="F2" s="85"/>
      <c r="G2" s="85"/>
      <c r="H2" s="85"/>
      <c r="I2" s="85"/>
      <c r="J2" s="85"/>
      <c r="K2" s="85"/>
      <c r="L2" s="85"/>
      <c r="M2" s="85"/>
      <c r="N2" s="85"/>
      <c r="O2" s="85"/>
      <c r="P2" s="85"/>
      <c r="Q2" s="85"/>
      <c r="R2" s="85"/>
      <c r="S2" s="85"/>
      <c r="T2" s="3"/>
    </row>
    <row r="3" spans="1:20" ht="18.75" customHeight="1">
      <c r="A3" s="3"/>
      <c r="B3" s="85"/>
      <c r="C3" s="195" t="str">
        <f>Translations!$K$459</f>
        <v>Certificate of Completion</v>
      </c>
      <c r="D3" s="195"/>
      <c r="E3" s="195"/>
      <c r="F3" s="195"/>
      <c r="G3" s="195"/>
      <c r="H3" s="195"/>
      <c r="I3" s="195"/>
      <c r="J3" s="195"/>
      <c r="K3" s="195"/>
      <c r="L3" s="195"/>
      <c r="M3" s="195"/>
      <c r="N3" s="195"/>
      <c r="O3" s="85"/>
      <c r="P3" s="85"/>
      <c r="Q3" s="85"/>
      <c r="R3" s="85"/>
      <c r="S3" s="85"/>
      <c r="T3" s="3"/>
    </row>
    <row r="4" spans="1:20" ht="18.75" customHeight="1">
      <c r="A4" s="3"/>
      <c r="B4" s="86"/>
      <c r="C4" s="195"/>
      <c r="D4" s="195"/>
      <c r="E4" s="195"/>
      <c r="F4" s="195"/>
      <c r="G4" s="195"/>
      <c r="H4" s="195"/>
      <c r="I4" s="195"/>
      <c r="J4" s="195"/>
      <c r="K4" s="195"/>
      <c r="L4" s="195"/>
      <c r="M4" s="195"/>
      <c r="N4" s="195"/>
      <c r="O4" s="86"/>
      <c r="P4" s="86"/>
      <c r="Q4" s="86"/>
      <c r="R4" s="86"/>
      <c r="S4" s="86"/>
      <c r="T4" s="3"/>
    </row>
    <row r="5" spans="1:20" ht="18.75" customHeight="1">
      <c r="A5" s="3"/>
      <c r="B5" s="86"/>
      <c r="C5" s="195"/>
      <c r="D5" s="195"/>
      <c r="E5" s="195"/>
      <c r="F5" s="195"/>
      <c r="G5" s="195"/>
      <c r="H5" s="195"/>
      <c r="I5" s="195"/>
      <c r="J5" s="195"/>
      <c r="K5" s="195"/>
      <c r="L5" s="195"/>
      <c r="M5" s="195"/>
      <c r="N5" s="195"/>
      <c r="O5" s="86"/>
      <c r="P5" s="86"/>
      <c r="Q5" s="86"/>
      <c r="R5" s="86"/>
      <c r="S5" s="86"/>
      <c r="T5" s="3"/>
    </row>
    <row r="6" spans="1:20" ht="18.75" customHeight="1">
      <c r="A6" s="3"/>
      <c r="B6" s="86"/>
      <c r="C6" s="195"/>
      <c r="D6" s="195"/>
      <c r="E6" s="195"/>
      <c r="F6" s="195"/>
      <c r="G6" s="195"/>
      <c r="H6" s="195"/>
      <c r="I6" s="195"/>
      <c r="J6" s="195"/>
      <c r="K6" s="195"/>
      <c r="L6" s="195"/>
      <c r="M6" s="195"/>
      <c r="N6" s="195"/>
      <c r="O6" s="86"/>
      <c r="P6" s="86"/>
      <c r="Q6" s="86"/>
      <c r="R6" s="86"/>
      <c r="S6" s="86"/>
      <c r="T6" s="3"/>
    </row>
    <row r="7" spans="1:20" ht="18.75" customHeight="1">
      <c r="A7" s="3"/>
      <c r="B7" s="87"/>
      <c r="C7" s="195"/>
      <c r="D7" s="195"/>
      <c r="E7" s="195"/>
      <c r="F7" s="195"/>
      <c r="G7" s="195"/>
      <c r="H7" s="195"/>
      <c r="I7" s="195"/>
      <c r="J7" s="195"/>
      <c r="K7" s="195"/>
      <c r="L7" s="195"/>
      <c r="M7" s="195"/>
      <c r="N7" s="195"/>
      <c r="O7" s="87"/>
      <c r="P7" s="87"/>
      <c r="Q7" s="87"/>
      <c r="R7" s="87"/>
      <c r="S7" s="87"/>
      <c r="T7" s="3"/>
    </row>
    <row r="8" spans="1:20" ht="18.75" customHeight="1">
      <c r="A8" s="3"/>
      <c r="B8" s="87"/>
      <c r="C8" s="195"/>
      <c r="D8" s="195"/>
      <c r="E8" s="195"/>
      <c r="F8" s="195"/>
      <c r="G8" s="195"/>
      <c r="H8" s="195"/>
      <c r="I8" s="195"/>
      <c r="J8" s="195"/>
      <c r="K8" s="195"/>
      <c r="L8" s="195"/>
      <c r="M8" s="195"/>
      <c r="N8" s="195"/>
      <c r="O8" s="87"/>
      <c r="P8" s="87"/>
      <c r="Q8" s="87"/>
      <c r="R8" s="87"/>
      <c r="S8" s="87"/>
      <c r="T8" s="3"/>
    </row>
    <row r="9" spans="1:20" ht="18.75" customHeight="1">
      <c r="A9" s="3"/>
      <c r="B9" s="85"/>
      <c r="C9" s="196" t="str">
        <f>Translations!K475</f>
        <v>Introduction to Data Visualization</v>
      </c>
      <c r="D9" s="196"/>
      <c r="E9" s="196"/>
      <c r="F9" s="196"/>
      <c r="G9" s="196"/>
      <c r="H9" s="196"/>
      <c r="I9" s="196"/>
      <c r="J9" s="196"/>
      <c r="K9" s="196"/>
      <c r="L9" s="196"/>
      <c r="M9" s="196"/>
      <c r="N9" s="196"/>
      <c r="O9" s="85"/>
      <c r="P9" s="85"/>
      <c r="Q9" s="85"/>
      <c r="R9" s="85"/>
      <c r="S9" s="85"/>
      <c r="T9" s="3"/>
    </row>
    <row r="10" spans="1:20" ht="18.75" customHeight="1">
      <c r="A10" s="3"/>
      <c r="B10" s="85"/>
      <c r="C10" s="196"/>
      <c r="D10" s="196"/>
      <c r="E10" s="196"/>
      <c r="F10" s="196"/>
      <c r="G10" s="196"/>
      <c r="H10" s="196"/>
      <c r="I10" s="196"/>
      <c r="J10" s="196"/>
      <c r="K10" s="196"/>
      <c r="L10" s="196"/>
      <c r="M10" s="196"/>
      <c r="N10" s="196"/>
      <c r="O10" s="85"/>
      <c r="P10" s="85"/>
      <c r="Q10" s="85"/>
      <c r="R10" s="85"/>
      <c r="S10" s="85"/>
      <c r="T10" s="3"/>
    </row>
    <row r="11" spans="1:20" ht="18.75" customHeight="1">
      <c r="A11" s="3"/>
      <c r="B11" s="85"/>
      <c r="C11" s="85"/>
      <c r="D11" s="85"/>
      <c r="E11" s="85"/>
      <c r="F11" s="85"/>
      <c r="G11" s="85"/>
      <c r="H11" s="85"/>
      <c r="I11" s="85"/>
      <c r="J11" s="85"/>
      <c r="K11" s="85"/>
      <c r="L11" s="85"/>
      <c r="M11" s="85"/>
      <c r="N11" s="85"/>
      <c r="O11" s="85"/>
      <c r="P11" s="85"/>
      <c r="Q11" s="85"/>
      <c r="R11" s="85"/>
      <c r="S11" s="85"/>
      <c r="T11" s="3"/>
    </row>
    <row r="12" spans="1:20" ht="18.75" customHeight="1">
      <c r="A12" s="3"/>
      <c r="B12" s="3"/>
      <c r="C12" s="3"/>
      <c r="D12" s="3"/>
      <c r="E12" s="3"/>
      <c r="F12" s="3"/>
      <c r="G12" s="3"/>
      <c r="H12" s="3"/>
      <c r="I12" s="3"/>
      <c r="J12" s="3"/>
      <c r="K12" s="3"/>
      <c r="L12" s="3"/>
      <c r="M12" s="3"/>
      <c r="N12" s="3"/>
      <c r="O12" s="3"/>
      <c r="P12" s="3"/>
      <c r="Q12" s="3"/>
      <c r="R12" s="3"/>
      <c r="S12" s="3"/>
      <c r="T12" s="3"/>
    </row>
    <row r="13" spans="1:20" ht="18.75" customHeight="1">
      <c r="A13" s="3"/>
      <c r="B13" s="197" t="str">
        <f>Translations!K462</f>
        <v xml:space="preserve">This certificate celebrates </v>
      </c>
      <c r="C13" s="197"/>
      <c r="D13" s="197"/>
      <c r="E13" s="197"/>
      <c r="F13" s="197"/>
      <c r="G13" s="197"/>
      <c r="H13" s="197"/>
      <c r="I13" s="197"/>
      <c r="J13" s="197"/>
      <c r="K13" s="197"/>
      <c r="L13" s="197"/>
      <c r="M13" s="197"/>
      <c r="N13" s="197"/>
      <c r="O13" s="197"/>
      <c r="P13" s="197"/>
      <c r="Q13" s="197"/>
      <c r="R13" s="197"/>
      <c r="S13" s="197"/>
      <c r="T13" s="3"/>
    </row>
    <row r="14" spans="1:20" ht="18.75" customHeight="1">
      <c r="A14" s="3"/>
      <c r="B14" s="197"/>
      <c r="C14" s="197"/>
      <c r="D14" s="197"/>
      <c r="E14" s="197"/>
      <c r="F14" s="197"/>
      <c r="G14" s="197"/>
      <c r="H14" s="197"/>
      <c r="I14" s="197"/>
      <c r="J14" s="197"/>
      <c r="K14" s="197"/>
      <c r="L14" s="197"/>
      <c r="M14" s="197"/>
      <c r="N14" s="197"/>
      <c r="O14" s="197"/>
      <c r="P14" s="197"/>
      <c r="Q14" s="197"/>
      <c r="R14" s="197"/>
      <c r="S14" s="197"/>
      <c r="T14" s="3"/>
    </row>
    <row r="15" spans="1:20" ht="18.75" customHeight="1">
      <c r="A15" s="3"/>
      <c r="B15" s="197"/>
      <c r="C15" s="197"/>
      <c r="D15" s="197"/>
      <c r="E15" s="197"/>
      <c r="F15" s="197"/>
      <c r="G15" s="197"/>
      <c r="H15" s="197"/>
      <c r="I15" s="197"/>
      <c r="J15" s="197"/>
      <c r="K15" s="197"/>
      <c r="L15" s="197"/>
      <c r="M15" s="197"/>
      <c r="N15" s="197"/>
      <c r="O15" s="197"/>
      <c r="P15" s="197"/>
      <c r="Q15" s="197"/>
      <c r="R15" s="197"/>
      <c r="S15" s="197"/>
      <c r="T15" s="3"/>
    </row>
    <row r="16" spans="1:20" ht="18.75" customHeight="1">
      <c r="A16" s="3"/>
      <c r="B16" s="197"/>
      <c r="C16" s="197"/>
      <c r="D16" s="197"/>
      <c r="E16" s="197"/>
      <c r="F16" s="197"/>
      <c r="G16" s="197"/>
      <c r="H16" s="197"/>
      <c r="I16" s="197"/>
      <c r="J16" s="197"/>
      <c r="K16" s="197"/>
      <c r="L16" s="197"/>
      <c r="M16" s="197"/>
      <c r="N16" s="197"/>
      <c r="O16" s="197"/>
      <c r="P16" s="197"/>
      <c r="Q16" s="197"/>
      <c r="R16" s="197"/>
      <c r="S16" s="197"/>
      <c r="T16" s="3"/>
    </row>
    <row r="17" spans="1:20" ht="37.5" customHeight="1" thickBot="1">
      <c r="A17" s="3"/>
      <c r="B17" s="198" t="str">
        <f>Translations!K462</f>
        <v xml:space="preserve">This certificate celebrates </v>
      </c>
      <c r="C17" s="198"/>
      <c r="D17" s="198"/>
      <c r="E17" s="198"/>
      <c r="F17" s="198"/>
      <c r="G17" s="198"/>
      <c r="H17" s="198"/>
      <c r="I17" s="199" t="str">
        <f>Translations!$K$464</f>
        <v>type your name here</v>
      </c>
      <c r="J17" s="199"/>
      <c r="K17" s="199"/>
      <c r="L17" s="199"/>
      <c r="M17" s="199"/>
      <c r="N17" s="199"/>
      <c r="O17" s="199"/>
      <c r="P17" s="199"/>
      <c r="Q17" s="199"/>
      <c r="R17" s="199"/>
      <c r="S17" s="199"/>
      <c r="T17" s="3"/>
    </row>
    <row r="18" spans="1:20" ht="1.5" customHeight="1" thickTop="1">
      <c r="A18" s="3"/>
      <c r="B18" s="3"/>
      <c r="C18" s="3"/>
      <c r="D18" s="3"/>
      <c r="E18" s="3"/>
      <c r="F18" s="3"/>
      <c r="G18" s="3"/>
      <c r="H18" s="3"/>
      <c r="I18" s="3"/>
      <c r="J18" s="3"/>
      <c r="K18" s="3"/>
      <c r="L18" s="3"/>
      <c r="M18" s="3"/>
      <c r="N18" s="3"/>
      <c r="O18" s="3"/>
      <c r="P18" s="3"/>
      <c r="Q18" s="3"/>
      <c r="R18" s="3"/>
      <c r="S18" s="3"/>
      <c r="T18" s="3"/>
    </row>
    <row r="19" spans="1:20" ht="37.5" customHeight="1">
      <c r="A19" s="3"/>
      <c r="B19" s="194" t="str">
        <f>Translations!$K$476</f>
        <v xml:space="preserve">for the successful completion of the Introduction to Data Visualization experience! </v>
      </c>
      <c r="C19" s="194"/>
      <c r="D19" s="194"/>
      <c r="E19" s="194"/>
      <c r="F19" s="194"/>
      <c r="G19" s="194"/>
      <c r="H19" s="194"/>
      <c r="I19" s="194"/>
      <c r="J19" s="194"/>
      <c r="K19" s="194"/>
      <c r="L19" s="194"/>
      <c r="M19" s="194"/>
      <c r="N19" s="194"/>
      <c r="O19" s="194"/>
      <c r="P19" s="194"/>
      <c r="Q19" s="194"/>
      <c r="R19" s="194"/>
      <c r="S19" s="194"/>
      <c r="T19" s="3"/>
    </row>
    <row r="20" spans="1:20" ht="37.5" customHeight="1">
      <c r="A20" s="3"/>
      <c r="B20" s="194"/>
      <c r="C20" s="194"/>
      <c r="D20" s="194"/>
      <c r="E20" s="194"/>
      <c r="F20" s="194"/>
      <c r="G20" s="194"/>
      <c r="H20" s="194"/>
      <c r="I20" s="194"/>
      <c r="J20" s="194"/>
      <c r="K20" s="194"/>
      <c r="L20" s="194"/>
      <c r="M20" s="194"/>
      <c r="N20" s="194"/>
      <c r="O20" s="194"/>
      <c r="P20" s="194"/>
      <c r="Q20" s="194"/>
      <c r="R20" s="194"/>
      <c r="S20" s="194"/>
      <c r="T20" s="3"/>
    </row>
    <row r="21" spans="1:20" ht="18.75" customHeight="1">
      <c r="A21" s="3"/>
      <c r="B21" s="3"/>
      <c r="C21" s="3"/>
      <c r="D21" s="3"/>
      <c r="E21" s="3"/>
      <c r="F21" s="3"/>
      <c r="G21" s="3"/>
      <c r="H21" s="3"/>
      <c r="I21" s="3"/>
      <c r="J21" s="3"/>
      <c r="K21" s="3"/>
      <c r="L21" s="3"/>
      <c r="M21" s="3"/>
      <c r="N21" s="3"/>
      <c r="O21" s="3"/>
      <c r="P21" s="3"/>
      <c r="Q21" s="3"/>
      <c r="R21" s="3"/>
      <c r="S21" s="3"/>
      <c r="T21" s="3"/>
    </row>
    <row r="22" spans="1:20" ht="18.75" customHeight="1">
      <c r="A22" s="3"/>
      <c r="B22" s="3"/>
      <c r="C22" s="3"/>
      <c r="D22" s="3"/>
      <c r="E22" s="3"/>
      <c r="F22" s="3"/>
      <c r="G22" s="3"/>
      <c r="H22" s="3"/>
      <c r="I22" s="3"/>
      <c r="J22" s="3"/>
      <c r="K22" s="3"/>
      <c r="L22" s="3"/>
      <c r="M22" s="3"/>
      <c r="N22" s="3"/>
      <c r="O22" s="3"/>
      <c r="P22" s="3"/>
      <c r="Q22" s="3"/>
      <c r="R22" s="3"/>
      <c r="S22" s="3"/>
      <c r="T22" s="3"/>
    </row>
    <row r="23" spans="1:20" ht="18.75" customHeight="1">
      <c r="A23" s="3"/>
      <c r="B23" s="3"/>
      <c r="C23" s="3"/>
      <c r="D23" s="3"/>
      <c r="E23" s="3"/>
      <c r="F23" s="3"/>
      <c r="G23" s="3"/>
      <c r="H23" s="3"/>
      <c r="I23" s="3"/>
      <c r="J23" s="3"/>
      <c r="K23" s="3"/>
      <c r="L23" s="3"/>
      <c r="M23" s="3"/>
      <c r="N23" s="3"/>
      <c r="O23" s="3"/>
      <c r="P23" s="3"/>
      <c r="Q23" s="3"/>
      <c r="R23" s="3"/>
      <c r="S23" s="3"/>
      <c r="T23" s="3"/>
    </row>
  </sheetData>
  <mergeCells count="6">
    <mergeCell ref="B19:S20"/>
    <mergeCell ref="C3:N8"/>
    <mergeCell ref="C9:N10"/>
    <mergeCell ref="B13:S16"/>
    <mergeCell ref="B17:H17"/>
    <mergeCell ref="I17:S17"/>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notContainsText" priority="1" operator="notContains" id="{2D8BB299-370D-4737-A57B-12B4378EEF17}">
            <xm:f>ISERROR(SEARCH(Translations!$K$464,I17))</xm:f>
            <xm:f>Translations!$K$464</xm:f>
            <x14:dxf>
              <font>
                <b/>
                <i val="0"/>
                <color theme="3" tint="-0.24994659260841701"/>
              </font>
              <fill>
                <patternFill>
                  <bgColor theme="0"/>
                </patternFill>
              </fill>
            </x14:dxf>
          </x14:cfRule>
          <xm:sqref>I17:S17</xm:sqref>
        </x14:conditionalFormatting>
        <x14:conditionalFormatting xmlns:xm="http://schemas.microsoft.com/office/excel/2006/main">
          <x14:cfRule type="expression" priority="2" id="{A59A09B3-C745-447C-BC14-85718B0FB497}">
            <xm:f>Badge!$L$13=0</xm:f>
            <x14:dxf>
              <font>
                <color theme="2"/>
              </font>
              <fill>
                <patternFill>
                  <bgColor theme="2"/>
                </patternFill>
              </fill>
              <border>
                <left style="thin">
                  <color theme="2"/>
                </left>
                <right style="thin">
                  <color theme="2"/>
                </right>
                <top style="thin">
                  <color theme="2"/>
                </top>
                <bottom style="thin">
                  <color theme="2"/>
                </bottom>
                <vertical/>
                <horizontal/>
              </border>
            </x14:dxf>
          </x14:cfRule>
          <xm:sqref>A1:T23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E8BF-D005-47D1-B020-BFABC25F983C}">
  <sheetPr codeName="Sheet11">
    <tabColor rgb="FFFF0000"/>
  </sheetPr>
  <dimension ref="A1:S31"/>
  <sheetViews>
    <sheetView zoomScale="130" zoomScaleNormal="130" workbookViewId="0"/>
  </sheetViews>
  <sheetFormatPr defaultColWidth="9.375" defaultRowHeight="16.5" customHeight="1" zeroHeight="1"/>
  <cols>
    <col min="1" max="1" width="0.375" style="24" customWidth="1"/>
    <col min="2" max="2" width="2.5" style="24" customWidth="1"/>
    <col min="3" max="3" width="2.5" style="2" customWidth="1"/>
    <col min="4" max="8" width="10" style="2" customWidth="1"/>
    <col min="9" max="9" width="12.5" style="2" customWidth="1"/>
    <col min="10" max="10" width="2.5" style="2" customWidth="1"/>
    <col min="11" max="12" width="20" style="2" customWidth="1"/>
    <col min="13" max="13" width="2.5" style="2" customWidth="1"/>
    <col min="14" max="18" width="12.5" style="2" customWidth="1"/>
    <col min="19" max="19" width="2.5" style="2" customWidth="1"/>
    <col min="20" max="16384" width="9.375" style="2"/>
  </cols>
  <sheetData>
    <row r="1" spans="1:19" s="24" customFormat="1" ht="18.75" customHeight="1">
      <c r="A1" s="23" t="str">
        <f>C2</f>
        <v>Extensions</v>
      </c>
      <c r="B1" s="2"/>
      <c r="C1" s="2"/>
      <c r="D1" s="2"/>
      <c r="E1" s="2"/>
      <c r="F1" s="2"/>
      <c r="G1" s="2"/>
      <c r="H1" s="2"/>
      <c r="I1" s="2"/>
      <c r="J1" s="2"/>
      <c r="K1" s="2"/>
      <c r="L1" s="2"/>
      <c r="M1" s="2"/>
      <c r="N1" s="2"/>
      <c r="O1" s="2"/>
      <c r="P1" s="2"/>
      <c r="Q1" s="2"/>
      <c r="R1" s="2"/>
      <c r="S1" s="2"/>
    </row>
    <row r="2" spans="1:19" ht="18.75" customHeight="1">
      <c r="A2" s="23" t="str">
        <f>Translations!K209</f>
        <v>Send postcards to space! Thanks to the Club for the Future, you can send a postcard into space! Think about a future of life in space to benefit Earth, and receive a special space-flown keepsake in return. Visit www.clubforfuture.org to learn more.</v>
      </c>
      <c r="B2" s="2"/>
      <c r="C2" s="130" t="str">
        <f>Translations!$K$26</f>
        <v>Extensions</v>
      </c>
      <c r="D2" s="130"/>
      <c r="E2" s="130"/>
      <c r="F2" s="130"/>
      <c r="G2" s="130"/>
      <c r="H2" s="130"/>
    </row>
    <row r="3" spans="1:19" ht="18.75" customHeight="1">
      <c r="A3" s="23" t="str">
        <f>Translations!K210</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c r="B3" s="2"/>
      <c r="C3" s="130"/>
      <c r="D3" s="130"/>
      <c r="E3" s="130"/>
      <c r="F3" s="130"/>
      <c r="G3" s="130"/>
      <c r="H3" s="130"/>
    </row>
    <row r="4" spans="1:19" ht="18.75" customHeight="1">
      <c r="A4" s="2"/>
      <c r="B4" s="2"/>
      <c r="C4"/>
      <c r="D4" s="93"/>
      <c r="E4" s="93"/>
      <c r="F4" s="93"/>
      <c r="G4" s="93"/>
      <c r="H4" s="93"/>
      <c r="I4" s="93"/>
      <c r="N4" s="200" t="str">
        <f>Translations!$K$211</f>
        <v>BRING SPACE TO THE CLASSROOM</v>
      </c>
      <c r="O4" s="200"/>
      <c r="P4" s="200"/>
      <c r="Q4" s="200"/>
      <c r="R4" s="200"/>
    </row>
    <row r="5" spans="1:19" ht="18.75" customHeight="1" thickBot="1">
      <c r="A5" s="2"/>
      <c r="B5" s="2"/>
      <c r="C5" s="93"/>
      <c r="D5" s="93"/>
      <c r="E5" s="93"/>
      <c r="F5" s="93"/>
      <c r="G5" s="93"/>
      <c r="H5" s="93"/>
      <c r="I5" s="93"/>
      <c r="N5" s="200"/>
      <c r="O5" s="200"/>
      <c r="P5" s="200"/>
      <c r="Q5" s="200"/>
      <c r="R5" s="200"/>
    </row>
    <row r="6" spans="1:19" ht="18.75" customHeight="1">
      <c r="A6" s="2"/>
      <c r="B6" s="2"/>
      <c r="C6" s="93"/>
      <c r="D6" s="93"/>
      <c r="E6" s="93"/>
      <c r="F6" s="93"/>
      <c r="G6" s="93"/>
      <c r="H6" s="93"/>
      <c r="I6" s="93"/>
      <c r="M6" s="57"/>
      <c r="N6" s="58"/>
      <c r="O6" s="58"/>
      <c r="P6" s="58"/>
      <c r="Q6" s="58"/>
      <c r="R6" s="58"/>
      <c r="S6" s="59"/>
    </row>
    <row r="7" spans="1:19" ht="18.75" customHeight="1">
      <c r="A7" s="2"/>
      <c r="B7" s="2"/>
      <c r="M7" s="60"/>
      <c r="N7" s="201" t="str">
        <f>Translations!$K$210</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c r="O7" s="201"/>
      <c r="P7" s="201"/>
      <c r="Q7" s="201"/>
      <c r="R7" s="201"/>
      <c r="S7" s="61"/>
    </row>
    <row r="8" spans="1:19" ht="18.75" customHeight="1">
      <c r="A8" s="2"/>
      <c r="B8" s="2"/>
      <c r="M8" s="60"/>
      <c r="N8" s="201"/>
      <c r="O8" s="201"/>
      <c r="P8" s="201"/>
      <c r="Q8" s="201"/>
      <c r="R8" s="201"/>
      <c r="S8" s="61"/>
    </row>
    <row r="9" spans="1:19" ht="18.75" customHeight="1">
      <c r="A9" s="2"/>
      <c r="B9" s="2"/>
      <c r="M9" s="60"/>
      <c r="N9" s="201"/>
      <c r="O9" s="201"/>
      <c r="P9" s="201"/>
      <c r="Q9" s="201"/>
      <c r="R9" s="201"/>
      <c r="S9" s="62"/>
    </row>
    <row r="10" spans="1:19" ht="18.75" customHeight="1">
      <c r="A10" s="2"/>
      <c r="B10" s="2"/>
      <c r="M10" s="60"/>
      <c r="N10" s="201"/>
      <c r="O10" s="201"/>
      <c r="P10" s="201"/>
      <c r="Q10" s="201"/>
      <c r="R10" s="201"/>
      <c r="S10" s="62"/>
    </row>
    <row r="11" spans="1:19" ht="18.75" customHeight="1">
      <c r="A11" s="2"/>
      <c r="B11" s="2"/>
      <c r="M11" s="60"/>
      <c r="N11" s="201"/>
      <c r="O11" s="201"/>
      <c r="P11" s="201"/>
      <c r="Q11" s="201"/>
      <c r="R11" s="201"/>
      <c r="S11" s="62"/>
    </row>
    <row r="12" spans="1:19" ht="18.75" customHeight="1">
      <c r="A12" s="2"/>
      <c r="B12" s="2"/>
      <c r="M12" s="60"/>
      <c r="N12" s="201"/>
      <c r="O12" s="201"/>
      <c r="P12" s="201"/>
      <c r="Q12" s="201"/>
      <c r="R12" s="201"/>
      <c r="S12" s="61"/>
    </row>
    <row r="13" spans="1:19" ht="18.75" customHeight="1">
      <c r="A13" s="2"/>
      <c r="B13" s="2"/>
      <c r="M13" s="60"/>
      <c r="N13" s="201"/>
      <c r="O13" s="201"/>
      <c r="P13" s="201"/>
      <c r="Q13" s="201"/>
      <c r="R13" s="201"/>
      <c r="S13" s="61"/>
    </row>
    <row r="14" spans="1:19" ht="18.75" customHeight="1">
      <c r="A14" s="2"/>
      <c r="B14" s="2"/>
      <c r="M14" s="60"/>
      <c r="N14" s="201"/>
      <c r="O14" s="201"/>
      <c r="P14" s="201"/>
      <c r="Q14" s="201"/>
      <c r="R14" s="201"/>
      <c r="S14" s="61"/>
    </row>
    <row r="15" spans="1:19" ht="18.75" customHeight="1">
      <c r="A15" s="2"/>
      <c r="B15" s="2"/>
      <c r="M15" s="60"/>
      <c r="N15" s="201"/>
      <c r="O15" s="201"/>
      <c r="P15" s="201"/>
      <c r="Q15" s="201"/>
      <c r="R15" s="201"/>
      <c r="S15" s="61"/>
    </row>
    <row r="16" spans="1:19" ht="18.75" customHeight="1">
      <c r="A16" s="2"/>
      <c r="B16" s="2"/>
      <c r="M16" s="60"/>
      <c r="N16" s="201"/>
      <c r="O16" s="201"/>
      <c r="P16" s="201"/>
      <c r="Q16" s="201"/>
      <c r="R16" s="201"/>
      <c r="S16" s="61"/>
    </row>
    <row r="17" spans="1:19" ht="18.75" customHeight="1">
      <c r="A17" s="2"/>
      <c r="B17" s="2"/>
      <c r="M17" s="60"/>
      <c r="N17" s="201"/>
      <c r="O17" s="201"/>
      <c r="P17" s="201"/>
      <c r="Q17" s="201"/>
      <c r="R17" s="201"/>
      <c r="S17" s="61"/>
    </row>
    <row r="18" spans="1:19" ht="18.75" customHeight="1">
      <c r="A18" s="2"/>
      <c r="B18" s="2"/>
      <c r="M18" s="60"/>
      <c r="N18" s="201"/>
      <c r="O18" s="201"/>
      <c r="P18" s="201"/>
      <c r="Q18" s="201"/>
      <c r="R18" s="201"/>
      <c r="S18" s="61"/>
    </row>
    <row r="19" spans="1:19" ht="17.25" thickBot="1">
      <c r="A19" s="2"/>
      <c r="B19" s="2"/>
      <c r="M19" s="63"/>
      <c r="N19" s="64"/>
      <c r="O19" s="64"/>
      <c r="P19" s="64"/>
      <c r="Q19" s="64"/>
      <c r="R19" s="64"/>
      <c r="S19" s="65"/>
    </row>
    <row r="20" spans="1:19" ht="18.75" customHeight="1">
      <c r="A20" s="2"/>
      <c r="B20" s="2"/>
    </row>
    <row r="21" spans="1:19" ht="18.75" customHeight="1">
      <c r="A21" s="2"/>
      <c r="B21" s="2"/>
    </row>
    <row r="22" spans="1:19" ht="20.25">
      <c r="A22" s="2"/>
      <c r="B22" s="2"/>
      <c r="P22" s="98" t="str">
        <f>Translations!$K$212</f>
        <v>Link</v>
      </c>
    </row>
    <row r="23" spans="1:19" ht="15" customHeight="1">
      <c r="A23" s="2"/>
      <c r="B23" s="2"/>
    </row>
    <row r="24" spans="1:19" ht="15" customHeight="1">
      <c r="A24" s="2"/>
      <c r="B24" s="2"/>
    </row>
    <row r="25" spans="1:19" ht="15" customHeight="1">
      <c r="A25" s="2"/>
      <c r="B25" s="2"/>
    </row>
    <row r="26" spans="1:19" ht="15" customHeight="1">
      <c r="A26" s="2"/>
      <c r="B26" s="2"/>
    </row>
    <row r="27" spans="1:19" ht="15" customHeight="1">
      <c r="A27" s="2"/>
      <c r="B27" s="2"/>
    </row>
    <row r="28" spans="1:19" ht="15" customHeight="1">
      <c r="A28" s="2"/>
      <c r="B28" s="2"/>
    </row>
    <row r="29" spans="1:19" ht="15" customHeight="1">
      <c r="A29" s="2"/>
      <c r="B29" s="2"/>
    </row>
    <row r="30" spans="1:19" ht="0" hidden="1" customHeight="1"/>
    <row r="31" spans="1:19"/>
  </sheetData>
  <mergeCells count="3">
    <mergeCell ref="C2:H3"/>
    <mergeCell ref="N4:R5"/>
    <mergeCell ref="N7:R18"/>
  </mergeCells>
  <hyperlinks>
    <hyperlink ref="P22" r:id="rId1" display="Link" xr:uid="{107EA1C4-3F95-437B-B7C9-DF68ABC2569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E4A6-5CDE-461B-B222-0BB7A55AB811}">
  <sheetPr codeName="Sheet12">
    <tabColor rgb="FFFF0000"/>
  </sheetPr>
  <dimension ref="A1:AT37"/>
  <sheetViews>
    <sheetView zoomScale="130" zoomScaleNormal="130" workbookViewId="0"/>
  </sheetViews>
  <sheetFormatPr defaultColWidth="0" defaultRowHeight="16.5" zeroHeight="1"/>
  <cols>
    <col min="1" max="1" width="0.375" style="24" customWidth="1"/>
    <col min="2" max="2" width="2.5" style="24" customWidth="1"/>
    <col min="3" max="3" width="2.5" style="2" customWidth="1"/>
    <col min="4" max="10" width="10" style="2" customWidth="1"/>
    <col min="11" max="11" width="5" style="2" customWidth="1"/>
    <col min="12" max="12" width="2.5" style="2" customWidth="1"/>
    <col min="13" max="46" width="0" style="2" hidden="1" customWidth="1"/>
    <col min="47" max="16384" width="9.375" style="2" hidden="1"/>
  </cols>
  <sheetData>
    <row r="1" spans="1:12" s="24" customFormat="1" ht="20.25" customHeight="1">
      <c r="A1" s="23" t="str">
        <f>Translations!$K$213</f>
        <v>Teachers, please find the lesson plan in columns C and D, and the standards covered in column N.</v>
      </c>
      <c r="B1" s="2"/>
      <c r="C1" s="2"/>
      <c r="D1" s="2"/>
      <c r="E1" s="2"/>
      <c r="F1" s="2"/>
      <c r="G1" s="2"/>
      <c r="H1" s="2"/>
      <c r="I1" s="2"/>
      <c r="J1" s="2"/>
      <c r="K1" s="2"/>
      <c r="L1" s="2"/>
    </row>
    <row r="2" spans="1:12" ht="18.75" customHeight="1">
      <c r="A2" s="2"/>
      <c r="B2" s="2"/>
      <c r="C2" s="130" t="str">
        <f>Translations!$K$275</f>
        <v>Teacher Lesson Plan – How Astronauts Visualize Data</v>
      </c>
      <c r="D2" s="130"/>
      <c r="E2" s="130"/>
      <c r="F2" s="130"/>
      <c r="G2" s="130"/>
      <c r="H2" s="130"/>
      <c r="I2" s="130"/>
      <c r="J2" s="130"/>
      <c r="K2" s="130"/>
    </row>
    <row r="3" spans="1:12" ht="18.75" customHeight="1">
      <c r="A3" s="2"/>
      <c r="B3" s="2"/>
      <c r="C3" s="130"/>
      <c r="D3" s="130"/>
      <c r="E3" s="130"/>
      <c r="F3" s="130"/>
      <c r="G3" s="130"/>
      <c r="H3" s="130"/>
      <c r="I3" s="130"/>
      <c r="J3" s="130"/>
      <c r="K3" s="130"/>
    </row>
    <row r="4" spans="1:12" ht="18.75" customHeight="1">
      <c r="A4" s="2"/>
      <c r="B4" s="2"/>
      <c r="C4" s="202" t="str">
        <f>Translations!$K$470</f>
        <v>INTRODUCTION</v>
      </c>
      <c r="D4" s="202"/>
      <c r="E4" s="202"/>
      <c r="F4" s="202"/>
      <c r="G4" s="202"/>
      <c r="H4" s="202"/>
      <c r="I4" s="93"/>
    </row>
    <row r="5" spans="1:12" ht="18.75" customHeight="1">
      <c r="A5" s="2"/>
      <c r="B5" s="2"/>
      <c r="C5" s="203" t="str">
        <f>Translations!K276</f>
        <v>In this lesson, students explore the importance of data as it relates to our astronauts, our space missions, and our world. This self-paced Excel Online activity introduces students to visualizing data using charts. Students will work with a variety of data sets related to space and and investigate the types of charts that best help them analyze and understand the data. Complete the five mini-lessons to secure a Space Data Badge.</v>
      </c>
      <c r="D5" s="203"/>
      <c r="E5" s="203"/>
      <c r="F5" s="203"/>
      <c r="G5" s="203"/>
      <c r="H5" s="203"/>
      <c r="I5" s="203"/>
      <c r="J5" s="203"/>
      <c r="K5" s="203"/>
    </row>
    <row r="6" spans="1:12" ht="18.75" customHeight="1">
      <c r="A6" s="2"/>
      <c r="B6" s="2"/>
      <c r="C6" s="203"/>
      <c r="D6" s="203"/>
      <c r="E6" s="203"/>
      <c r="F6" s="203"/>
      <c r="G6" s="203"/>
      <c r="H6" s="203"/>
      <c r="I6" s="203"/>
      <c r="J6" s="203"/>
      <c r="K6" s="203"/>
    </row>
    <row r="7" spans="1:12" ht="18.75" customHeight="1">
      <c r="A7" s="2"/>
      <c r="B7" s="2"/>
      <c r="C7" s="203"/>
      <c r="D7" s="203"/>
      <c r="E7" s="203"/>
      <c r="F7" s="203"/>
      <c r="G7" s="203"/>
      <c r="H7" s="203"/>
      <c r="I7" s="203"/>
      <c r="J7" s="203"/>
      <c r="K7" s="203"/>
    </row>
    <row r="8" spans="1:12" ht="18.75" customHeight="1">
      <c r="A8" s="2"/>
      <c r="B8" s="2"/>
      <c r="C8" s="203"/>
      <c r="D8" s="203"/>
      <c r="E8" s="203"/>
      <c r="F8" s="203"/>
      <c r="G8" s="203"/>
      <c r="H8" s="203"/>
      <c r="I8" s="203"/>
      <c r="J8" s="203"/>
      <c r="K8" s="203"/>
    </row>
    <row r="9" spans="1:12" ht="18.75" customHeight="1">
      <c r="A9" s="2"/>
      <c r="B9" s="2"/>
      <c r="C9" s="202" t="str">
        <f>Translations!$K$216</f>
        <v>LEARNING OBJECTIVE</v>
      </c>
      <c r="D9" s="202"/>
      <c r="E9" s="202"/>
      <c r="F9" s="202"/>
      <c r="G9" s="202"/>
      <c r="H9" s="202"/>
      <c r="I9" s="93"/>
    </row>
    <row r="10" spans="1:12" ht="18.75" customHeight="1">
      <c r="A10" s="2"/>
      <c r="B10" s="2"/>
      <c r="C10" s="203" t="str">
        <f>Translations!K277</f>
        <v>Use different types of data visualizations to analyze and interpret information related to space.</v>
      </c>
      <c r="D10" s="203"/>
      <c r="E10" s="203"/>
      <c r="F10" s="203"/>
      <c r="G10" s="203"/>
      <c r="H10" s="203"/>
      <c r="I10" s="203"/>
      <c r="J10" s="203"/>
      <c r="K10" s="203"/>
    </row>
    <row r="11" spans="1:12" ht="18.75" customHeight="1">
      <c r="A11" s="2"/>
      <c r="B11" s="2"/>
      <c r="C11" s="203"/>
      <c r="D11" s="203"/>
      <c r="E11" s="203"/>
      <c r="F11" s="203"/>
      <c r="G11" s="203"/>
      <c r="H11" s="203"/>
      <c r="I11" s="203"/>
      <c r="J11" s="203"/>
      <c r="K11" s="203"/>
    </row>
    <row r="12" spans="1:12" ht="18.75" customHeight="1">
      <c r="A12" s="2"/>
      <c r="B12" s="2"/>
      <c r="C12" s="202" t="str">
        <f>Translations!$K$218</f>
        <v>INSTRUCTIONS</v>
      </c>
      <c r="D12" s="202"/>
      <c r="E12" s="202"/>
      <c r="F12" s="202"/>
      <c r="G12" s="202"/>
      <c r="H12" s="202"/>
      <c r="I12" s="93"/>
    </row>
    <row r="13" spans="1:12" ht="18.75" customHeight="1">
      <c r="A13" s="2"/>
      <c r="B13" s="2"/>
      <c r="C13" s="75">
        <v>1</v>
      </c>
      <c r="D13" s="203" t="str">
        <f>Translations!K278</f>
        <v>Open the How Astronauts Visualize Data workbook and familiarize yourself with how to use it by reading the information in the Contents worksheet of the workbook.</v>
      </c>
      <c r="E13" s="203"/>
      <c r="F13" s="203"/>
      <c r="G13" s="203"/>
      <c r="H13" s="203"/>
      <c r="I13" s="203"/>
      <c r="J13" s="203"/>
      <c r="K13" s="203"/>
    </row>
    <row r="14" spans="1:12" ht="18.75" customHeight="1">
      <c r="A14" s="2"/>
      <c r="B14" s="2"/>
      <c r="C14" s="76"/>
      <c r="D14" s="203"/>
      <c r="E14" s="203"/>
      <c r="F14" s="203"/>
      <c r="G14" s="203"/>
      <c r="H14" s="203"/>
      <c r="I14" s="203"/>
      <c r="J14" s="203"/>
      <c r="K14" s="203"/>
    </row>
    <row r="15" spans="1:12" ht="18.75" customHeight="1">
      <c r="A15" s="2"/>
      <c r="B15" s="2"/>
      <c r="C15" s="75">
        <v>2</v>
      </c>
      <c r="D15" s="203" t="str">
        <f>Translations!K220</f>
        <v>Complete the guided steps in the workbook for each of the worksheets prior to introducing the activity to your students.</v>
      </c>
      <c r="E15" s="203"/>
      <c r="F15" s="203"/>
      <c r="G15" s="203"/>
      <c r="H15" s="203"/>
      <c r="I15" s="203"/>
      <c r="J15" s="203"/>
      <c r="K15" s="203"/>
    </row>
    <row r="16" spans="1:12" ht="18.75" customHeight="1">
      <c r="A16" s="2"/>
      <c r="B16" s="2"/>
      <c r="C16" s="77"/>
      <c r="D16" s="203"/>
      <c r="E16" s="203"/>
      <c r="F16" s="203"/>
      <c r="G16" s="203"/>
      <c r="H16" s="203"/>
      <c r="I16" s="203"/>
      <c r="J16" s="203"/>
      <c r="K16" s="203"/>
    </row>
    <row r="17" spans="1:11" ht="18.75" customHeight="1">
      <c r="A17" s="2"/>
      <c r="B17" s="2"/>
      <c r="C17" s="75">
        <v>3</v>
      </c>
      <c r="D17" s="203" t="str">
        <f>Translations!K221</f>
        <v>Guide your students in opening the workbook, introduce your students to the lesson using the Introduction worksheet and show them how to navigate the workbook to earn their Space Data Badge.</v>
      </c>
      <c r="E17" s="203"/>
      <c r="F17" s="203"/>
      <c r="G17" s="203"/>
      <c r="H17" s="203"/>
      <c r="I17" s="203"/>
      <c r="J17" s="203"/>
      <c r="K17" s="203"/>
    </row>
    <row r="18" spans="1:11" ht="18.75" customHeight="1">
      <c r="A18" s="2"/>
      <c r="B18" s="2"/>
      <c r="D18" s="203"/>
      <c r="E18" s="203"/>
      <c r="F18" s="203"/>
      <c r="G18" s="203"/>
      <c r="H18" s="203"/>
      <c r="I18" s="203"/>
      <c r="J18" s="203"/>
      <c r="K18" s="203"/>
    </row>
    <row r="19" spans="1:11" ht="18.75" customHeight="1">
      <c r="A19" s="2"/>
      <c r="B19" s="2"/>
      <c r="D19" s="203"/>
      <c r="E19" s="203"/>
      <c r="F19" s="203"/>
      <c r="G19" s="203"/>
      <c r="H19" s="203"/>
      <c r="I19" s="203"/>
      <c r="J19" s="203"/>
      <c r="K19" s="203"/>
    </row>
    <row r="20" spans="1:11" ht="18.75" customHeight="1">
      <c r="A20" s="2"/>
      <c r="B20" s="2"/>
      <c r="C20" s="202" t="str">
        <f>Translations!$K$222</f>
        <v>LEARNING EXTENSION</v>
      </c>
      <c r="D20" s="202"/>
      <c r="E20" s="202"/>
      <c r="F20" s="202"/>
      <c r="G20" s="202"/>
      <c r="H20" s="202"/>
      <c r="I20" s="93"/>
    </row>
    <row r="21" spans="1:11" ht="18.75" customHeight="1">
      <c r="A21" s="2"/>
      <c r="B21" s="2"/>
      <c r="C21" s="203" t="str">
        <f>Translations!$K$279</f>
        <v>Have students complete the Club for the Future lesson located in the Extensions worksheet of the How Astronauts Visualize Data Excel Online workbook.</v>
      </c>
      <c r="D21" s="203"/>
      <c r="E21" s="203"/>
      <c r="F21" s="203"/>
      <c r="G21" s="203"/>
      <c r="H21" s="203"/>
      <c r="I21" s="203"/>
      <c r="J21" s="203"/>
      <c r="K21" s="203"/>
    </row>
    <row r="22" spans="1:11" ht="18.75" customHeight="1">
      <c r="A22" s="2"/>
      <c r="B22" s="2"/>
      <c r="C22" s="203"/>
      <c r="D22" s="203"/>
      <c r="E22" s="203"/>
      <c r="F22" s="203"/>
      <c r="G22" s="203"/>
      <c r="H22" s="203"/>
      <c r="I22" s="203"/>
      <c r="J22" s="203"/>
      <c r="K22" s="203"/>
    </row>
    <row r="23" spans="1:11" ht="18.75" customHeight="1">
      <c r="A23" s="2"/>
      <c r="B23" s="2"/>
      <c r="C23" s="202" t="str">
        <f>Translations!$K$224</f>
        <v>STANDARDS</v>
      </c>
      <c r="D23" s="202"/>
      <c r="E23" s="202"/>
      <c r="F23" s="202"/>
      <c r="G23" s="202"/>
      <c r="H23" s="202"/>
      <c r="I23" s="202"/>
      <c r="J23" s="202"/>
      <c r="K23" s="202"/>
    </row>
    <row r="24" spans="1:11" ht="18.75" customHeight="1">
      <c r="A24" s="2"/>
      <c r="B24" s="2"/>
      <c r="C24" s="213" t="str">
        <f>Translations!$K$225</f>
        <v>NGSS</v>
      </c>
      <c r="D24" s="213"/>
      <c r="E24" s="213"/>
      <c r="F24" s="213"/>
      <c r="G24" s="213"/>
      <c r="H24" s="213"/>
      <c r="I24" s="213"/>
      <c r="J24" s="213"/>
      <c r="K24" s="213"/>
    </row>
    <row r="25" spans="1:11" ht="18.75" customHeight="1">
      <c r="A25" s="2"/>
      <c r="B25" s="2"/>
      <c r="C25" s="205" t="str">
        <f>Translations!$K$280</f>
        <v>MS-ESS1-3. Analyze and interpret data to determine similarities and differences in findings.</v>
      </c>
      <c r="D25" s="205"/>
      <c r="E25" s="205"/>
      <c r="F25" s="205"/>
      <c r="G25" s="205"/>
      <c r="H25" s="205"/>
      <c r="I25" s="205"/>
      <c r="J25" s="205"/>
      <c r="K25" s="205"/>
    </row>
    <row r="26" spans="1:11" ht="18.75" customHeight="1">
      <c r="A26" s="2"/>
      <c r="B26" s="2"/>
      <c r="C26" s="205"/>
      <c r="D26" s="205"/>
      <c r="E26" s="205"/>
      <c r="F26" s="205"/>
      <c r="G26" s="205"/>
      <c r="H26" s="205"/>
      <c r="I26" s="205"/>
      <c r="J26" s="205"/>
      <c r="K26" s="205"/>
    </row>
    <row r="27" spans="1:11" ht="18.75" customHeight="1">
      <c r="A27" s="2"/>
      <c r="B27" s="2"/>
      <c r="C27" s="213" t="str">
        <f>Translations!$K$281</f>
        <v>CCSS.MATH.CONTENT.7.RP.A.2</v>
      </c>
      <c r="D27" s="213"/>
      <c r="E27" s="213"/>
      <c r="F27" s="213"/>
      <c r="G27" s="213"/>
      <c r="H27" s="213"/>
      <c r="I27" s="213"/>
      <c r="J27" s="213"/>
      <c r="K27" s="213"/>
    </row>
    <row r="28" spans="1:11" ht="18.75" customHeight="1">
      <c r="A28" s="2"/>
      <c r="B28" s="2"/>
      <c r="C28" s="205" t="str">
        <f>Translations!$K$282</f>
        <v>Recognize and represent proportional relationships between quantities.</v>
      </c>
      <c r="D28" s="205"/>
      <c r="E28" s="205"/>
      <c r="F28" s="205"/>
      <c r="G28" s="205"/>
      <c r="H28" s="205"/>
      <c r="I28" s="205"/>
      <c r="J28" s="205"/>
      <c r="K28" s="205"/>
    </row>
    <row r="29" spans="1:11" ht="18.75" customHeight="1">
      <c r="C29" s="205"/>
      <c r="D29" s="205"/>
      <c r="E29" s="205"/>
      <c r="F29" s="205"/>
      <c r="G29" s="205"/>
      <c r="H29" s="205"/>
      <c r="I29" s="205"/>
      <c r="J29" s="205"/>
      <c r="K29" s="205"/>
    </row>
    <row r="30" spans="1:11" ht="18.75" customHeight="1">
      <c r="C30" s="205"/>
      <c r="D30" s="205"/>
      <c r="E30" s="205"/>
      <c r="F30" s="205"/>
      <c r="G30" s="205"/>
      <c r="H30" s="205"/>
      <c r="I30" s="205"/>
      <c r="J30" s="205"/>
      <c r="K30" s="205"/>
    </row>
    <row r="31" spans="1:11" ht="18.75" customHeight="1">
      <c r="C31" s="213" t="str">
        <f>Translations!$K$229</f>
        <v>ISTE</v>
      </c>
      <c r="D31" s="213"/>
      <c r="E31" s="213"/>
      <c r="F31" s="213"/>
      <c r="G31" s="213"/>
      <c r="H31" s="213"/>
      <c r="I31" s="213"/>
      <c r="J31" s="213"/>
      <c r="K31" s="213"/>
    </row>
    <row r="32" spans="1:11" ht="18.75" customHeight="1">
      <c r="C32" s="206" t="str">
        <f>Translations!K230</f>
        <v>5b - Students collect data or identify relevant data sets, use digital tools to analyze them, and represent data in various ways to facilitate problem-solving and decision-making.</v>
      </c>
      <c r="D32" s="206"/>
      <c r="E32" s="206"/>
      <c r="F32" s="206"/>
      <c r="G32" s="206"/>
      <c r="H32" s="206"/>
      <c r="I32" s="206"/>
      <c r="J32" s="206"/>
      <c r="K32" s="206"/>
    </row>
    <row r="33" spans="3:11" ht="18.75" customHeight="1">
      <c r="C33" s="206"/>
      <c r="D33" s="206"/>
      <c r="E33" s="206"/>
      <c r="F33" s="206"/>
      <c r="G33" s="206"/>
      <c r="H33" s="206"/>
      <c r="I33" s="206"/>
      <c r="J33" s="206"/>
      <c r="K33" s="206"/>
    </row>
    <row r="34" spans="3:11" ht="18.75" customHeight="1">
      <c r="C34" s="206"/>
      <c r="D34" s="206"/>
      <c r="E34" s="206"/>
      <c r="F34" s="206"/>
      <c r="G34" s="206"/>
      <c r="H34" s="206"/>
      <c r="I34" s="206"/>
      <c r="J34" s="206"/>
      <c r="K34" s="206"/>
    </row>
    <row r="35" spans="3:11" ht="18.75" customHeight="1">
      <c r="C35" s="202" t="str">
        <f>Translations!$K$231</f>
        <v>REFLECTION</v>
      </c>
      <c r="D35" s="202"/>
      <c r="E35" s="202"/>
      <c r="F35" s="202"/>
      <c r="G35" s="202"/>
      <c r="H35" s="202"/>
      <c r="I35" s="202"/>
      <c r="J35" s="202"/>
      <c r="K35" s="202"/>
    </row>
    <row r="36" spans="3:11" ht="18.75" customHeight="1">
      <c r="C36" s="204" t="str">
        <f>Translations!$K$232</f>
        <v xml:space="preserve">Have students complete the Student Journal and use their responses in a group discussion to summarize the lesson. </v>
      </c>
      <c r="D36" s="204"/>
      <c r="E36" s="204"/>
      <c r="F36" s="204"/>
      <c r="G36" s="204"/>
      <c r="H36" s="204"/>
      <c r="I36" s="204"/>
      <c r="J36" s="204"/>
      <c r="K36" s="204"/>
    </row>
    <row r="37" spans="3:11" ht="18.75" customHeight="1">
      <c r="C37" s="204"/>
      <c r="D37" s="204"/>
      <c r="E37" s="204"/>
      <c r="F37" s="204"/>
      <c r="G37" s="204"/>
      <c r="H37" s="204"/>
      <c r="I37" s="204"/>
      <c r="J37" s="204"/>
      <c r="K37" s="204"/>
    </row>
  </sheetData>
  <mergeCells count="20">
    <mergeCell ref="C35:K35"/>
    <mergeCell ref="C36:K37"/>
    <mergeCell ref="C24:K24"/>
    <mergeCell ref="C25:K26"/>
    <mergeCell ref="C27:K27"/>
    <mergeCell ref="C28:K30"/>
    <mergeCell ref="C31:K31"/>
    <mergeCell ref="C32:K34"/>
    <mergeCell ref="C23:K23"/>
    <mergeCell ref="C2:K3"/>
    <mergeCell ref="C4:H4"/>
    <mergeCell ref="C5:K8"/>
    <mergeCell ref="C9:H9"/>
    <mergeCell ref="C10:K11"/>
    <mergeCell ref="C12:H12"/>
    <mergeCell ref="D13:K14"/>
    <mergeCell ref="D15:K16"/>
    <mergeCell ref="D17:K19"/>
    <mergeCell ref="C20:H20"/>
    <mergeCell ref="C21:K22"/>
  </mergeCells>
  <pageMargins left="0.7" right="0.7" top="0.75" bottom="0.75" header="0.3" footer="0.3"/>
  <pageSetup orientation="portrait"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AC77-205A-42A1-AA82-A43DD8924DDE}">
  <sheetPr codeName="Sheet13">
    <tabColor rgb="FFFF0000"/>
  </sheetPr>
  <dimension ref="A1:BM70"/>
  <sheetViews>
    <sheetView zoomScale="130" zoomScaleNormal="130" workbookViewId="0"/>
  </sheetViews>
  <sheetFormatPr defaultColWidth="0" defaultRowHeight="0" customHeight="1" zeroHeight="1"/>
  <cols>
    <col min="1" max="1" width="0.375" style="24" customWidth="1"/>
    <col min="2" max="2" width="2.5" style="24" customWidth="1"/>
    <col min="3" max="3" width="2.5" style="2" customWidth="1"/>
    <col min="4" max="4" width="5" style="2" customWidth="1"/>
    <col min="5" max="5" width="2.5" style="2" customWidth="1"/>
    <col min="6" max="6" width="25" style="2" customWidth="1"/>
    <col min="7" max="9" width="15" style="2" customWidth="1"/>
    <col min="10" max="10" width="2.5" style="2" customWidth="1"/>
    <col min="11" max="12" width="10" style="2" customWidth="1"/>
    <col min="13" max="13" width="10" style="2" hidden="1" customWidth="1"/>
    <col min="14" max="17" width="2.5" style="2" hidden="1" customWidth="1"/>
    <col min="18" max="65" width="0" style="2" hidden="1" customWidth="1"/>
    <col min="66" max="16384" width="9.375" style="2" hidden="1"/>
  </cols>
  <sheetData>
    <row r="1" spans="1:17" s="24" customFormat="1" ht="15" customHeight="1">
      <c r="A1" s="23" t="str">
        <f>C2</f>
        <v>Student Journal</v>
      </c>
      <c r="B1" s="2"/>
      <c r="C1" s="2"/>
      <c r="D1" s="2"/>
      <c r="E1" s="2"/>
      <c r="F1" s="2"/>
      <c r="G1" s="2"/>
      <c r="H1" s="2"/>
      <c r="I1" s="2"/>
      <c r="J1" s="2"/>
      <c r="K1" s="2"/>
      <c r="L1" s="2"/>
      <c r="M1" s="2"/>
      <c r="N1" s="2"/>
      <c r="O1" s="2"/>
      <c r="P1" s="2"/>
      <c r="Q1" s="2"/>
    </row>
    <row r="2" spans="1:17" ht="11.25" customHeight="1">
      <c r="A2" s="49" t="str">
        <f>D9</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c r="B2" s="2"/>
      <c r="C2" s="130" t="str">
        <f>Translations!$K$28</f>
        <v>Student Journal</v>
      </c>
      <c r="D2" s="130"/>
      <c r="E2" s="130"/>
      <c r="F2" s="130"/>
      <c r="G2" s="130"/>
      <c r="H2" s="130"/>
      <c r="I2" s="130"/>
    </row>
    <row r="3" spans="1:17" ht="15" customHeight="1">
      <c r="A3" s="23" t="str">
        <f>Translations!$K$283</f>
        <v>Find the questions in column D.</v>
      </c>
      <c r="B3" s="2"/>
      <c r="C3" s="130"/>
      <c r="D3" s="130"/>
      <c r="E3" s="130"/>
      <c r="F3" s="130"/>
      <c r="G3" s="130"/>
      <c r="H3" s="130"/>
      <c r="I3" s="130"/>
    </row>
    <row r="4" spans="1:17" ht="18.75" customHeight="1">
      <c r="A4" s="2"/>
      <c r="B4" s="2"/>
    </row>
    <row r="5" spans="1:17" ht="18.75" customHeight="1" thickBot="1">
      <c r="A5" s="2"/>
      <c r="B5" s="2"/>
      <c r="D5" s="210" t="str">
        <f>Translations!K235</f>
        <v>Name</v>
      </c>
      <c r="E5" s="210"/>
      <c r="F5" s="50"/>
    </row>
    <row r="6" spans="1:17" ht="18.75" customHeight="1" thickBot="1">
      <c r="A6" s="2"/>
      <c r="B6" s="2"/>
      <c r="D6" s="210" t="str">
        <f>Translations!K236</f>
        <v>Date</v>
      </c>
      <c r="E6" s="210"/>
      <c r="F6" s="51"/>
    </row>
    <row r="7" spans="1:17" ht="18.75" customHeight="1" thickBot="1">
      <c r="A7" s="2"/>
      <c r="B7" s="2"/>
      <c r="D7" s="211" t="str">
        <f>Translations!K237</f>
        <v>Class</v>
      </c>
      <c r="E7" s="211"/>
      <c r="F7" s="51"/>
    </row>
    <row r="8" spans="1:17" ht="18.75" customHeight="1">
      <c r="A8" s="2"/>
      <c r="B8" s="2"/>
    </row>
    <row r="9" spans="1:17" ht="15" customHeight="1">
      <c r="A9" s="2"/>
      <c r="B9" s="2"/>
      <c r="D9" s="208" t="str">
        <f>Translations!$K$233</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c r="E9" s="208"/>
      <c r="F9" s="208"/>
      <c r="G9" s="208"/>
      <c r="H9" s="208"/>
      <c r="I9" s="208"/>
      <c r="J9" s="94"/>
      <c r="K9" s="94"/>
      <c r="L9" s="94"/>
      <c r="M9" s="94"/>
    </row>
    <row r="10" spans="1:17" ht="15" customHeight="1">
      <c r="A10" s="2"/>
      <c r="B10" s="2"/>
      <c r="D10" s="208"/>
      <c r="E10" s="208"/>
      <c r="F10" s="208"/>
      <c r="G10" s="208"/>
      <c r="H10" s="208"/>
      <c r="I10" s="208"/>
      <c r="J10" s="94"/>
      <c r="K10" s="94"/>
      <c r="L10" s="94"/>
      <c r="M10" s="94"/>
    </row>
    <row r="11" spans="1:17" ht="15" customHeight="1">
      <c r="A11" s="2"/>
      <c r="B11" s="2"/>
      <c r="D11" s="208"/>
      <c r="E11" s="208"/>
      <c r="F11" s="208"/>
      <c r="G11" s="208"/>
      <c r="H11" s="208"/>
      <c r="I11" s="208"/>
      <c r="J11" s="94"/>
      <c r="K11" s="94"/>
      <c r="L11" s="94"/>
      <c r="M11" s="94"/>
    </row>
    <row r="12" spans="1:17" ht="15" customHeight="1">
      <c r="A12" s="2"/>
      <c r="B12" s="2"/>
      <c r="D12" s="208"/>
      <c r="E12" s="208"/>
      <c r="F12" s="208"/>
      <c r="G12" s="208"/>
      <c r="H12" s="208"/>
      <c r="I12" s="208"/>
      <c r="J12" s="94"/>
      <c r="K12" s="94"/>
      <c r="L12" s="94"/>
      <c r="M12" s="94"/>
    </row>
    <row r="13" spans="1:17" ht="15" customHeight="1">
      <c r="A13" s="2"/>
      <c r="B13" s="2"/>
      <c r="D13" s="208"/>
      <c r="E13" s="208"/>
      <c r="F13" s="208"/>
      <c r="G13" s="208"/>
      <c r="H13" s="208"/>
      <c r="I13" s="208"/>
      <c r="J13" s="94"/>
      <c r="K13" s="94"/>
      <c r="L13" s="94"/>
      <c r="M13" s="94"/>
    </row>
    <row r="14" spans="1:17" ht="15" customHeight="1">
      <c r="A14" s="2"/>
      <c r="B14" s="2"/>
      <c r="D14" s="208"/>
      <c r="E14" s="208"/>
      <c r="F14" s="208"/>
      <c r="G14" s="208"/>
      <c r="H14" s="208"/>
      <c r="I14" s="208"/>
      <c r="J14" s="94"/>
      <c r="K14" s="94"/>
      <c r="L14" s="94"/>
      <c r="M14" s="94"/>
    </row>
    <row r="15" spans="1:17" ht="15" customHeight="1">
      <c r="A15" s="2"/>
      <c r="B15" s="2"/>
      <c r="D15" s="52" t="str">
        <f>Translations!$K$239</f>
        <v>Tab 1</v>
      </c>
      <c r="E15" s="53"/>
      <c r="F15" s="53"/>
      <c r="G15" s="53"/>
      <c r="H15" s="53"/>
      <c r="I15" s="53"/>
      <c r="J15" s="53"/>
      <c r="M15" s="53"/>
      <c r="O15" s="88"/>
    </row>
    <row r="16" spans="1:17" ht="15" customHeight="1">
      <c r="A16" s="2"/>
      <c r="B16" s="2"/>
      <c r="D16" s="208" t="str">
        <f>Translations!$K$284</f>
        <v>Please list four types of charts. Which of these charts is the most interesting to you? Explain why!</v>
      </c>
      <c r="E16" s="208"/>
      <c r="F16" s="208"/>
      <c r="G16" s="208"/>
      <c r="H16" s="208"/>
      <c r="I16" s="208"/>
      <c r="J16" s="53"/>
      <c r="M16" s="94"/>
      <c r="O16" s="88"/>
    </row>
    <row r="17" spans="1:15" ht="15" customHeight="1">
      <c r="A17" s="2"/>
      <c r="B17" s="2"/>
      <c r="D17" s="208"/>
      <c r="E17" s="208"/>
      <c r="F17" s="208"/>
      <c r="G17" s="208"/>
      <c r="H17" s="208"/>
      <c r="I17" s="208"/>
      <c r="J17" s="53"/>
      <c r="M17" s="94"/>
      <c r="O17" s="88"/>
    </row>
    <row r="18" spans="1:15" ht="15" customHeight="1">
      <c r="A18" s="2"/>
      <c r="B18" s="2"/>
      <c r="D18" s="208"/>
      <c r="E18" s="208"/>
      <c r="F18" s="208"/>
      <c r="G18" s="208"/>
      <c r="H18" s="208"/>
      <c r="I18" s="208"/>
      <c r="J18" s="53"/>
      <c r="M18" s="94"/>
      <c r="O18" s="88"/>
    </row>
    <row r="19" spans="1:15" ht="15" customHeight="1">
      <c r="A19" s="2"/>
      <c r="B19" s="2"/>
      <c r="D19" s="207"/>
      <c r="E19" s="207"/>
      <c r="F19" s="207"/>
      <c r="G19" s="207"/>
      <c r="H19" s="207"/>
      <c r="I19" s="207"/>
      <c r="J19" s="53"/>
      <c r="M19" s="53"/>
      <c r="O19" s="88"/>
    </row>
    <row r="20" spans="1:15" ht="15" customHeight="1">
      <c r="A20" s="2"/>
      <c r="B20" s="2"/>
      <c r="D20" s="207"/>
      <c r="E20" s="207"/>
      <c r="F20" s="207"/>
      <c r="G20" s="207"/>
      <c r="H20" s="207"/>
      <c r="I20" s="207"/>
      <c r="J20" s="53"/>
      <c r="M20" s="53"/>
      <c r="O20" s="88"/>
    </row>
    <row r="21" spans="1:15" ht="15" customHeight="1">
      <c r="A21" s="2"/>
      <c r="B21" s="2"/>
      <c r="D21" s="207"/>
      <c r="E21" s="207"/>
      <c r="F21" s="207"/>
      <c r="G21" s="207"/>
      <c r="H21" s="207"/>
      <c r="I21" s="207"/>
      <c r="J21" s="53"/>
      <c r="M21" s="53"/>
      <c r="O21" s="88"/>
    </row>
    <row r="22" spans="1:15" ht="15" customHeight="1">
      <c r="A22" s="2"/>
      <c r="B22" s="2"/>
      <c r="D22" s="207"/>
      <c r="E22" s="207"/>
      <c r="F22" s="207"/>
      <c r="G22" s="207"/>
      <c r="H22" s="207"/>
      <c r="I22" s="207"/>
      <c r="J22" s="53"/>
      <c r="M22" s="53"/>
      <c r="O22" s="88"/>
    </row>
    <row r="23" spans="1:15" ht="15" customHeight="1">
      <c r="A23" s="2"/>
      <c r="B23" s="2"/>
      <c r="D23" s="207"/>
      <c r="E23" s="207"/>
      <c r="F23" s="207"/>
      <c r="G23" s="207"/>
      <c r="H23" s="207"/>
      <c r="I23" s="207"/>
      <c r="M23" s="94"/>
    </row>
    <row r="24" spans="1:15" ht="15" customHeight="1">
      <c r="A24" s="2"/>
      <c r="B24" s="2"/>
      <c r="D24" s="207"/>
      <c r="E24" s="207"/>
      <c r="F24" s="207"/>
      <c r="G24" s="207"/>
      <c r="H24" s="207"/>
      <c r="I24" s="207"/>
      <c r="M24" s="94"/>
    </row>
    <row r="25" spans="1:15" ht="15" customHeight="1">
      <c r="A25" s="2"/>
      <c r="B25" s="2"/>
      <c r="D25" s="207"/>
      <c r="E25" s="207"/>
      <c r="F25" s="207"/>
      <c r="G25" s="207"/>
      <c r="H25" s="207"/>
      <c r="I25" s="207"/>
      <c r="M25" s="94"/>
    </row>
    <row r="26" spans="1:15" ht="15" customHeight="1">
      <c r="A26" s="2"/>
      <c r="B26" s="2"/>
      <c r="D26" s="207"/>
      <c r="E26" s="207"/>
      <c r="F26" s="207"/>
      <c r="G26" s="207"/>
      <c r="H26" s="207"/>
      <c r="I26" s="207"/>
      <c r="M26" s="94"/>
    </row>
    <row r="27" spans="1:15" ht="15" customHeight="1">
      <c r="A27" s="2"/>
      <c r="B27" s="2"/>
      <c r="D27" s="52" t="str">
        <f>Translations!$K$241</f>
        <v>Tab 2</v>
      </c>
      <c r="E27" s="53"/>
      <c r="F27" s="53"/>
      <c r="G27" s="53"/>
      <c r="H27" s="53"/>
      <c r="I27" s="53"/>
      <c r="M27" s="94"/>
    </row>
    <row r="28" spans="1:15" ht="15" customHeight="1">
      <c r="A28" s="2"/>
      <c r="B28" s="2"/>
      <c r="D28" s="208" t="str">
        <f>Translations!$K$285</f>
        <v xml:space="preserve">Why do you think payloads of rockets are increasing in mass? </v>
      </c>
      <c r="E28" s="208"/>
      <c r="F28" s="208"/>
      <c r="G28" s="208"/>
      <c r="H28" s="208"/>
      <c r="I28" s="208"/>
      <c r="M28" s="53"/>
    </row>
    <row r="29" spans="1:15" ht="15" customHeight="1">
      <c r="A29" s="2"/>
      <c r="B29" s="2"/>
      <c r="D29" s="208"/>
      <c r="E29" s="208"/>
      <c r="F29" s="208"/>
      <c r="G29" s="208"/>
      <c r="H29" s="208"/>
      <c r="I29" s="208"/>
      <c r="M29" s="53"/>
    </row>
    <row r="30" spans="1:15" ht="15" customHeight="1">
      <c r="A30" s="2"/>
      <c r="B30" s="2"/>
      <c r="D30" s="207"/>
      <c r="E30" s="207"/>
      <c r="F30" s="207"/>
      <c r="G30" s="207"/>
      <c r="H30" s="207"/>
      <c r="I30" s="207"/>
      <c r="M30" s="94"/>
    </row>
    <row r="31" spans="1:15" ht="15" customHeight="1">
      <c r="A31" s="2"/>
      <c r="B31" s="2"/>
      <c r="D31" s="207"/>
      <c r="E31" s="207"/>
      <c r="F31" s="207"/>
      <c r="G31" s="207"/>
      <c r="H31" s="207"/>
      <c r="I31" s="207"/>
      <c r="M31" s="94"/>
    </row>
    <row r="32" spans="1:15" ht="15" customHeight="1">
      <c r="A32" s="2"/>
      <c r="B32" s="2"/>
      <c r="D32" s="207"/>
      <c r="E32" s="207"/>
      <c r="F32" s="207"/>
      <c r="G32" s="207"/>
      <c r="H32" s="207"/>
      <c r="I32" s="207"/>
      <c r="M32" s="94"/>
    </row>
    <row r="33" spans="1:13" ht="15" customHeight="1">
      <c r="A33" s="2"/>
      <c r="B33" s="2"/>
      <c r="D33" s="207"/>
      <c r="E33" s="207"/>
      <c r="F33" s="207"/>
      <c r="G33" s="207"/>
      <c r="H33" s="207"/>
      <c r="I33" s="207"/>
      <c r="M33" s="94"/>
    </row>
    <row r="34" spans="1:13" ht="15" customHeight="1">
      <c r="A34" s="2"/>
      <c r="B34" s="2"/>
      <c r="D34" s="52" t="str">
        <f>Translations!$K$243</f>
        <v>Tab 3</v>
      </c>
      <c r="E34" s="53"/>
      <c r="F34" s="53"/>
      <c r="G34" s="53"/>
      <c r="H34" s="53"/>
      <c r="I34" s="53"/>
      <c r="M34" s="94"/>
    </row>
    <row r="35" spans="1:13" ht="15" customHeight="1">
      <c r="A35" s="2"/>
      <c r="B35" s="2"/>
      <c r="D35" s="208" t="str">
        <f>Translations!$K$286</f>
        <v xml:space="preserve">What do you think are the best colors to use in a chart? Explain your answer. </v>
      </c>
      <c r="E35" s="208"/>
      <c r="F35" s="208"/>
      <c r="G35" s="208"/>
      <c r="H35" s="208"/>
      <c r="I35" s="208"/>
    </row>
    <row r="36" spans="1:13" ht="15" customHeight="1">
      <c r="A36" s="2"/>
      <c r="B36" s="2"/>
      <c r="D36" s="208"/>
      <c r="E36" s="208"/>
      <c r="F36" s="208"/>
      <c r="G36" s="208"/>
      <c r="H36" s="208"/>
      <c r="I36" s="208"/>
    </row>
    <row r="37" spans="1:13" ht="15" customHeight="1">
      <c r="A37" s="2"/>
      <c r="B37" s="2"/>
      <c r="D37" s="207"/>
      <c r="E37" s="207"/>
      <c r="F37" s="207"/>
      <c r="G37" s="207"/>
      <c r="H37" s="207"/>
      <c r="I37" s="207"/>
    </row>
    <row r="38" spans="1:13" ht="15" customHeight="1">
      <c r="A38" s="2"/>
      <c r="B38" s="2"/>
      <c r="D38" s="207"/>
      <c r="E38" s="207"/>
      <c r="F38" s="207"/>
      <c r="G38" s="207"/>
      <c r="H38" s="207"/>
      <c r="I38" s="207"/>
    </row>
    <row r="39" spans="1:13" ht="15" customHeight="1">
      <c r="A39" s="2"/>
      <c r="B39" s="2"/>
      <c r="D39" s="207"/>
      <c r="E39" s="207"/>
      <c r="F39" s="207"/>
      <c r="G39" s="207"/>
      <c r="H39" s="207"/>
      <c r="I39" s="207"/>
    </row>
    <row r="40" spans="1:13" ht="15" customHeight="1">
      <c r="A40" s="2"/>
      <c r="B40" s="2"/>
      <c r="D40" s="52" t="str">
        <f>Translations!$K$245</f>
        <v>Tab 4</v>
      </c>
      <c r="E40" s="53"/>
      <c r="F40" s="53"/>
      <c r="G40" s="53"/>
      <c r="H40" s="53"/>
      <c r="I40" s="53"/>
    </row>
    <row r="41" spans="1:13" ht="15" customHeight="1">
      <c r="A41" s="2"/>
      <c r="B41" s="2"/>
      <c r="D41" s="208" t="str">
        <f>Translations!$K$287</f>
        <v>Why do you think it is important to be able to predict the future using data with trendlines? Give an example:</v>
      </c>
      <c r="E41" s="208"/>
      <c r="F41" s="208"/>
      <c r="G41" s="208"/>
      <c r="H41" s="208"/>
      <c r="I41" s="208"/>
    </row>
    <row r="42" spans="1:13" ht="15" customHeight="1">
      <c r="A42" s="2"/>
      <c r="B42" s="2"/>
      <c r="D42" s="208"/>
      <c r="E42" s="208"/>
      <c r="F42" s="208"/>
      <c r="G42" s="208"/>
      <c r="H42" s="208"/>
      <c r="I42" s="208"/>
    </row>
    <row r="43" spans="1:13" ht="15" customHeight="1">
      <c r="A43" s="2"/>
      <c r="B43" s="2"/>
      <c r="D43" s="208"/>
      <c r="E43" s="208"/>
      <c r="F43" s="208"/>
      <c r="G43" s="208"/>
      <c r="H43" s="208"/>
      <c r="I43" s="208"/>
    </row>
    <row r="44" spans="1:13" ht="15" customHeight="1">
      <c r="A44" s="2"/>
      <c r="B44" s="2"/>
      <c r="D44" s="207"/>
      <c r="E44" s="207"/>
      <c r="F44" s="207"/>
      <c r="G44" s="207"/>
      <c r="H44" s="207"/>
      <c r="I44" s="207"/>
    </row>
    <row r="45" spans="1:13" ht="15" customHeight="1">
      <c r="A45" s="2"/>
      <c r="B45" s="2"/>
      <c r="D45" s="207"/>
      <c r="E45" s="207"/>
      <c r="F45" s="207"/>
      <c r="G45" s="207"/>
      <c r="H45" s="207"/>
      <c r="I45" s="207"/>
    </row>
    <row r="46" spans="1:13" ht="15" customHeight="1">
      <c r="A46" s="2"/>
      <c r="B46" s="2"/>
      <c r="D46" s="207"/>
      <c r="E46" s="207"/>
      <c r="F46" s="207"/>
      <c r="G46" s="207"/>
      <c r="H46" s="207"/>
      <c r="I46" s="207"/>
    </row>
    <row r="47" spans="1:13" ht="15" customHeight="1">
      <c r="D47" s="52" t="str">
        <f>Translations!$K$247</f>
        <v>Tab 5</v>
      </c>
    </row>
    <row r="48" spans="1:13" ht="15" customHeight="1">
      <c r="D48" s="208" t="str">
        <f>Translations!$K$288</f>
        <v>What are the benefits of looking at the connections between multiple pieces of information at one time?</v>
      </c>
      <c r="E48" s="208"/>
      <c r="F48" s="208"/>
      <c r="G48" s="208"/>
      <c r="H48" s="208"/>
      <c r="I48" s="208"/>
    </row>
    <row r="49" spans="3:59" ht="15" customHeight="1">
      <c r="D49" s="208"/>
      <c r="E49" s="208"/>
      <c r="F49" s="208"/>
      <c r="G49" s="208"/>
      <c r="H49" s="208"/>
      <c r="I49" s="208"/>
    </row>
    <row r="50" spans="3:59" s="24" customFormat="1" ht="15" customHeight="1">
      <c r="C50" s="2"/>
      <c r="D50" s="208"/>
      <c r="E50" s="208"/>
      <c r="F50" s="208"/>
      <c r="G50" s="208"/>
      <c r="H50" s="208"/>
      <c r="I50" s="208"/>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row>
    <row r="51" spans="3:59" s="24" customFormat="1" ht="15" customHeight="1">
      <c r="C51" s="2"/>
      <c r="D51" s="207"/>
      <c r="E51" s="207"/>
      <c r="F51" s="207"/>
      <c r="G51" s="207"/>
      <c r="H51" s="207"/>
      <c r="I51" s="207"/>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row>
    <row r="52" spans="3:59" s="24" customFormat="1" ht="15" customHeight="1">
      <c r="C52" s="2"/>
      <c r="D52" s="207"/>
      <c r="E52" s="207"/>
      <c r="F52" s="207"/>
      <c r="G52" s="207"/>
      <c r="H52" s="207"/>
      <c r="I52" s="207"/>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3:59" s="24" customFormat="1" ht="15" customHeight="1">
      <c r="C53" s="2"/>
      <c r="D53" s="207"/>
      <c r="E53" s="207"/>
      <c r="F53" s="207"/>
      <c r="G53" s="207"/>
      <c r="H53" s="207"/>
      <c r="I53" s="207"/>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3:59" s="24" customFormat="1" ht="15" customHeight="1">
      <c r="C54" s="2"/>
      <c r="D54" s="207"/>
      <c r="E54" s="207"/>
      <c r="F54" s="207"/>
      <c r="G54" s="207"/>
      <c r="H54" s="207"/>
      <c r="I54" s="207"/>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3:59" ht="15" customHeight="1">
      <c r="D55" s="52" t="str">
        <f>Translations!K251</f>
        <v>Conclusion</v>
      </c>
    </row>
    <row r="56" spans="3:59" ht="15" customHeight="1">
      <c r="D56" s="208" t="str">
        <f>Translations!K252</f>
        <v>What other thoughts do you have about data, outer space or rockets that you would like to share with the class?  Do you have an idea that you would like to draw?  You can do that here or look at the lesson extension tab for a postcard activity from Blue Origin's Club for the Future :)</v>
      </c>
      <c r="E56" s="208"/>
      <c r="F56" s="208"/>
      <c r="G56" s="208"/>
      <c r="H56" s="208"/>
      <c r="I56" s="208"/>
    </row>
    <row r="57" spans="3:59" ht="15" customHeight="1">
      <c r="D57" s="208"/>
      <c r="E57" s="208"/>
      <c r="F57" s="208"/>
      <c r="G57" s="208"/>
      <c r="H57" s="208"/>
      <c r="I57" s="208"/>
    </row>
    <row r="58" spans="3:59" ht="15" customHeight="1">
      <c r="D58" s="208"/>
      <c r="E58" s="208"/>
      <c r="F58" s="208"/>
      <c r="G58" s="208"/>
      <c r="H58" s="208"/>
      <c r="I58" s="208"/>
    </row>
    <row r="59" spans="3:59" ht="15" customHeight="1">
      <c r="D59" s="208"/>
      <c r="E59" s="208"/>
      <c r="F59" s="208"/>
      <c r="G59" s="208"/>
      <c r="H59" s="208"/>
      <c r="I59" s="208"/>
    </row>
    <row r="60" spans="3:59" ht="15" customHeight="1">
      <c r="D60" s="208"/>
      <c r="E60" s="208"/>
      <c r="F60" s="208"/>
      <c r="G60" s="208"/>
      <c r="H60" s="208"/>
      <c r="I60" s="208"/>
    </row>
    <row r="61" spans="3:59" ht="15" customHeight="1">
      <c r="D61" s="209"/>
      <c r="E61" s="209"/>
      <c r="F61" s="209"/>
      <c r="G61" s="209"/>
      <c r="H61" s="209"/>
      <c r="I61" s="209"/>
    </row>
    <row r="62" spans="3:59" ht="15" customHeight="1">
      <c r="D62" s="209"/>
      <c r="E62" s="209"/>
      <c r="F62" s="209"/>
      <c r="G62" s="209"/>
      <c r="H62" s="209"/>
      <c r="I62" s="209"/>
    </row>
    <row r="63" spans="3:59" ht="15" customHeight="1">
      <c r="D63" s="209"/>
      <c r="E63" s="209"/>
      <c r="F63" s="209"/>
      <c r="G63" s="209"/>
      <c r="H63" s="209"/>
      <c r="I63" s="209"/>
    </row>
    <row r="64" spans="3:59" ht="15" customHeight="1">
      <c r="D64" s="209"/>
      <c r="E64" s="209"/>
      <c r="F64" s="209"/>
      <c r="G64" s="209"/>
      <c r="H64" s="209"/>
      <c r="I64" s="209"/>
    </row>
    <row r="65" spans="3:59" ht="15" customHeight="1">
      <c r="D65" s="209"/>
      <c r="E65" s="209"/>
      <c r="F65" s="209"/>
      <c r="G65" s="209"/>
      <c r="H65" s="209"/>
      <c r="I65" s="209"/>
    </row>
    <row r="66" spans="3:59" ht="16.5">
      <c r="D66" s="209"/>
      <c r="E66" s="209"/>
      <c r="F66" s="209"/>
      <c r="G66" s="209"/>
      <c r="H66" s="209"/>
      <c r="I66" s="209"/>
    </row>
    <row r="67" spans="3:59" ht="15" customHeight="1">
      <c r="C67" s="24"/>
      <c r="D67" s="24"/>
      <c r="E67" s="24"/>
      <c r="F67" s="24"/>
      <c r="G67" s="24"/>
      <c r="H67" s="24"/>
      <c r="I67" s="24"/>
      <c r="J67" s="24"/>
      <c r="K67" s="24"/>
    </row>
    <row r="68" spans="3:59" ht="15" hidden="1" customHeight="1">
      <c r="C68" s="24"/>
      <c r="D68" s="24"/>
      <c r="E68" s="24"/>
      <c r="F68" s="24"/>
      <c r="G68" s="24"/>
      <c r="H68" s="24"/>
      <c r="I68" s="24"/>
      <c r="J68" s="24"/>
      <c r="K68" s="24"/>
    </row>
    <row r="69" spans="3:59" s="24" customFormat="1" ht="15" hidden="1" customHeight="1">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3:59" ht="16.5" hidden="1">
      <c r="C70" s="24"/>
      <c r="D70" s="24"/>
      <c r="E70" s="24"/>
      <c r="F70" s="24"/>
      <c r="G70" s="24"/>
      <c r="H70" s="24"/>
      <c r="I70" s="24"/>
      <c r="J70" s="24"/>
      <c r="K70" s="24"/>
    </row>
  </sheetData>
  <mergeCells count="17">
    <mergeCell ref="D41:I43"/>
    <mergeCell ref="C2:I3"/>
    <mergeCell ref="D5:E5"/>
    <mergeCell ref="D6:E6"/>
    <mergeCell ref="D7:E7"/>
    <mergeCell ref="D9:I14"/>
    <mergeCell ref="D16:I18"/>
    <mergeCell ref="D19:I26"/>
    <mergeCell ref="D28:I29"/>
    <mergeCell ref="D30:I33"/>
    <mergeCell ref="D35:I36"/>
    <mergeCell ref="D37:I39"/>
    <mergeCell ref="D44:I46"/>
    <mergeCell ref="D48:I50"/>
    <mergeCell ref="D51:I54"/>
    <mergeCell ref="D56:I60"/>
    <mergeCell ref="D61:I66"/>
  </mergeCells>
  <pageMargins left="0.7" right="0.7" top="0.75" bottom="0.75" header="0.3" footer="0.3"/>
  <pageSetup orientation="landscape"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8A2B-FA61-4ACC-A02F-071C7B82C979}">
  <sheetPr codeName="Sheet19">
    <tabColor theme="3"/>
  </sheetPr>
  <dimension ref="B2:AB38"/>
  <sheetViews>
    <sheetView workbookViewId="0">
      <selection activeCell="D22" sqref="D22"/>
    </sheetView>
  </sheetViews>
  <sheetFormatPr defaultColWidth="9.375" defaultRowHeight="18.75" customHeight="1"/>
  <cols>
    <col min="1" max="1" width="3.125" customWidth="1"/>
    <col min="3" max="4" width="16.625" customWidth="1"/>
    <col min="5" max="6" width="17.125" customWidth="1"/>
    <col min="7" max="7" width="15.125" customWidth="1"/>
    <col min="8" max="8" width="14.875" customWidth="1"/>
    <col min="9" max="9" width="15.5" customWidth="1"/>
    <col min="10" max="10" width="15.375" customWidth="1"/>
    <col min="11" max="11" width="13.375" customWidth="1"/>
    <col min="12" max="12" width="14" customWidth="1"/>
    <col min="13" max="13" width="13.875" customWidth="1"/>
    <col min="14" max="15" width="11.875" customWidth="1"/>
    <col min="16" max="16" width="11.5" customWidth="1"/>
    <col min="17" max="19" width="17.5" customWidth="1"/>
    <col min="20" max="20" width="18" customWidth="1"/>
    <col min="21" max="21" width="16" customWidth="1"/>
    <col min="22" max="22" width="15.625" customWidth="1"/>
    <col min="23" max="23" width="17.5" customWidth="1"/>
    <col min="24" max="24" width="18.125" customWidth="1"/>
    <col min="25" max="25" width="18" customWidth="1"/>
    <col min="26" max="26" width="16" customWidth="1"/>
    <col min="27" max="27" width="15.625" customWidth="1"/>
  </cols>
  <sheetData>
    <row r="2" spans="2:28" ht="18.75" customHeight="1">
      <c r="I2">
        <f>IFERROR(MATCH(DD_P5_Sel,Tbl_P5B[Dropdown],0),1)</f>
        <v>1</v>
      </c>
      <c r="L2" t="str" cm="1">
        <f t="array" ref="L2">INDEX(Tbl_P5B[Axis Title],DD_P5_SelNum)</f>
        <v>Crewed spacecraft launched</v>
      </c>
      <c r="M2" t="str" cm="1">
        <f t="array" ref="M2">INDEX(Tbl_P5B[Table desc],DD_P5_SelNum)</f>
        <v>Crewed spacecraft launched by decade and destination</v>
      </c>
    </row>
    <row r="3" spans="2:28" ht="18.75" customHeight="1">
      <c r="B3" t="s">
        <v>734</v>
      </c>
      <c r="C3" t="s">
        <v>736</v>
      </c>
      <c r="D3" t="s">
        <v>738</v>
      </c>
      <c r="E3" t="s">
        <v>740</v>
      </c>
      <c r="F3" t="s">
        <v>742</v>
      </c>
      <c r="G3" t="s">
        <v>744</v>
      </c>
      <c r="I3" t="s">
        <v>175</v>
      </c>
      <c r="J3" t="s">
        <v>45</v>
      </c>
      <c r="K3" t="s">
        <v>597</v>
      </c>
      <c r="L3" t="s">
        <v>1098</v>
      </c>
      <c r="M3" t="s">
        <v>1099</v>
      </c>
      <c r="N3" t="s">
        <v>1100</v>
      </c>
      <c r="O3" t="s">
        <v>1101</v>
      </c>
      <c r="Q3" t="s">
        <v>734</v>
      </c>
      <c r="R3" t="s">
        <v>183</v>
      </c>
      <c r="T3" s="27" t="s">
        <v>231</v>
      </c>
      <c r="U3" s="27" t="s">
        <v>1102</v>
      </c>
      <c r="V3" s="27" t="s">
        <v>736</v>
      </c>
      <c r="W3" s="27" t="s">
        <v>1094</v>
      </c>
      <c r="X3" s="27" t="s">
        <v>1095</v>
      </c>
      <c r="Y3" s="27" t="s">
        <v>1096</v>
      </c>
      <c r="Z3" s="27" t="s">
        <v>1090</v>
      </c>
      <c r="AA3" s="27" t="s">
        <v>1097</v>
      </c>
      <c r="AB3" s="27" t="s">
        <v>1091</v>
      </c>
    </row>
    <row r="4" spans="2:28" ht="18.75" customHeight="1">
      <c r="B4">
        <v>1960</v>
      </c>
      <c r="C4" t="str">
        <f>Translations!$K$350</f>
        <v>Earth Orbit</v>
      </c>
      <c r="D4" t="str">
        <f>Tbl_Ex2_Data[[#This Row],[Decade]]&amp;"-"&amp;Tbl_Ex2_Data[[#This Row],[Destination]]</f>
        <v>1960-Earth Orbit</v>
      </c>
      <c r="E4">
        <v>31</v>
      </c>
      <c r="F4">
        <v>54</v>
      </c>
      <c r="G4" s="1">
        <v>216.52475694443638</v>
      </c>
      <c r="I4" t="str">
        <f>Translations!$K355</f>
        <v>What is an area chart?</v>
      </c>
      <c r="J4" t="str">
        <f>Translations!$K$362</f>
        <v>Area chart</v>
      </c>
      <c r="K4" t="str">
        <f>Translations!$K365</f>
        <v>The goal of an area chart, like the one seen here, is to show the change over time of a set of data. It takes visualization features found in both column and scatter charts to illustrate data in a new manner.</v>
      </c>
      <c r="L4" t="str">
        <f>Translations!$K$372</f>
        <v>Crewed spacecraft launched</v>
      </c>
      <c r="M4" t="str">
        <f>Translations!$K$375</f>
        <v>Crewed spacecraft launched by decade and destination</v>
      </c>
      <c r="N4">
        <f>IF(DD_P5_Sel=Tbl_P5B[[#This Row],[Dropdown]],1,NA())</f>
        <v>1</v>
      </c>
      <c r="O4">
        <v>4</v>
      </c>
      <c r="Q4" t="s">
        <v>951</v>
      </c>
      <c r="T4" s="29" cm="1">
        <f t="array" ref="T4">ROW()-ROW(Tbl_P5F13[#Headers])</f>
        <v>1</v>
      </c>
      <c r="U4" s="29" t="b">
        <f>OR(AND(DD_P5_SelNum&lt;4,Tbl_P5F13[[#This Row],[Row]]=6),AND(DD_P5_SelNum&gt;=4,Tbl_P5F13[[#This Row],[Row]]&lt;6))</f>
        <v>0</v>
      </c>
      <c r="V4" s="27" t="str">
        <f>'5.Visualizing with COMPLEXITY'!D25</f>
        <v>Earth Orbit</v>
      </c>
      <c r="W4" s="29" t="e">
        <f>IF(Tbl_P5F13[[#This Row],[Visible]],'5.Visualizing with COMPLEXITY'!E25,NA())</f>
        <v>#N/A</v>
      </c>
      <c r="X4" s="29" t="e">
        <f>IF(Tbl_P5F13[[#This Row],[Visible]],'5.Visualizing with COMPLEXITY'!F25,NA())</f>
        <v>#N/A</v>
      </c>
      <c r="Y4" s="29" t="e">
        <f>IF(Tbl_P5F13[[#This Row],[Visible]],'5.Visualizing with COMPLEXITY'!G25,NA())</f>
        <v>#N/A</v>
      </c>
      <c r="Z4" s="29" t="e">
        <f>IF(Tbl_P5F13[[#This Row],[Visible]],'5.Visualizing with COMPLEXITY'!H25,NA())</f>
        <v>#N/A</v>
      </c>
      <c r="AA4" s="29" t="e">
        <f>IF(Tbl_P5F13[[#This Row],[Visible]],'5.Visualizing with COMPLEXITY'!I25,NA())</f>
        <v>#N/A</v>
      </c>
      <c r="AB4" s="29" t="e">
        <f>IF(Tbl_P5F13[[#This Row],[Visible]],'5.Visualizing with COMPLEXITY'!J25,NA())</f>
        <v>#N/A</v>
      </c>
    </row>
    <row r="5" spans="2:28" ht="18.75" customHeight="1">
      <c r="B5">
        <v>1970</v>
      </c>
      <c r="C5" t="str">
        <f>Translations!$K$350</f>
        <v>Earth Orbit</v>
      </c>
      <c r="D5" t="str">
        <f>Tbl_Ex2_Data[[#This Row],[Decade]]&amp;"-"&amp;Tbl_Ex2_Data[[#This Row],[Destination]]</f>
        <v>1970-Earth Orbit</v>
      </c>
      <c r="E5">
        <v>11</v>
      </c>
      <c r="F5">
        <v>23</v>
      </c>
      <c r="G5" s="1">
        <v>137.85317129630494</v>
      </c>
      <c r="I5" t="str">
        <f>Translations!$K356</f>
        <v>Visualizing with area</v>
      </c>
      <c r="J5" t="str">
        <f>Translations!$K$362</f>
        <v>Area chart</v>
      </c>
      <c r="K5" t="str">
        <f>Translations!$K366</f>
        <v>While column charts primarily show the data through SIZE, and scatter charts through differences in POSITION, an area chart combines the two illustrating how the SIZE of the shaded area changes with POSITION.</v>
      </c>
      <c r="L5" t="str">
        <f>Translations!$K$372</f>
        <v>Crewed spacecraft launched</v>
      </c>
      <c r="M5" t="str">
        <f>Translations!$K$375</f>
        <v>Crewed spacecraft launched by decade and destination</v>
      </c>
      <c r="N5" t="e">
        <f>IF(DD_P5_Sel=Tbl_P5B[[#This Row],[Dropdown]],1,NA())</f>
        <v>#N/A</v>
      </c>
      <c r="O5">
        <v>4</v>
      </c>
      <c r="Q5" t="s">
        <v>953</v>
      </c>
      <c r="T5" s="29" cm="1">
        <f t="array" ref="T5">ROW()-ROW(Tbl_P5F13[#Headers])</f>
        <v>2</v>
      </c>
      <c r="U5" s="29" t="b">
        <f>OR(AND(DD_P5_SelNum&lt;4,Tbl_P5F13[[#This Row],[Row]]=6),AND(DD_P5_SelNum&gt;=4,Tbl_P5F13[[#This Row],[Row]]&lt;6))</f>
        <v>0</v>
      </c>
      <c r="V5" s="27" t="str">
        <f>'5.Visualizing with COMPLEXITY'!D26</f>
        <v>Lunar Mission</v>
      </c>
      <c r="W5" s="29" t="e">
        <f>IF(Tbl_P5F13[[#This Row],[Visible]],'5.Visualizing with COMPLEXITY'!E26,NA())</f>
        <v>#N/A</v>
      </c>
      <c r="X5" s="29" t="e">
        <f>IF(Tbl_P5F13[[#This Row],[Visible]],'5.Visualizing with COMPLEXITY'!F26,NA())</f>
        <v>#N/A</v>
      </c>
      <c r="Y5" s="29" t="e">
        <f>IF(Tbl_P5F13[[#This Row],[Visible]],'5.Visualizing with COMPLEXITY'!G26,NA())</f>
        <v>#N/A</v>
      </c>
      <c r="Z5" s="29" t="e">
        <f>IF(Tbl_P5F13[[#This Row],[Visible]],'5.Visualizing with COMPLEXITY'!H26,NA())</f>
        <v>#N/A</v>
      </c>
      <c r="AA5" s="29" t="e">
        <f>IF(Tbl_P5F13[[#This Row],[Visible]],'5.Visualizing with COMPLEXITY'!I26,NA())</f>
        <v>#N/A</v>
      </c>
      <c r="AB5" s="29" t="e">
        <f>IF(Tbl_P5F13[[#This Row],[Visible]],'5.Visualizing with COMPLEXITY'!J26,NA())</f>
        <v>#N/A</v>
      </c>
    </row>
    <row r="6" spans="2:28" ht="18.75" customHeight="1">
      <c r="B6">
        <v>1980</v>
      </c>
      <c r="C6" t="str">
        <f>Translations!$K$350</f>
        <v>Earth Orbit</v>
      </c>
      <c r="D6" t="str">
        <f>Tbl_Ex2_Data[[#This Row],[Decade]]&amp;"-"&amp;Tbl_Ex2_Data[[#This Row],[Destination]]</f>
        <v>1980-Earth Orbit</v>
      </c>
      <c r="E6">
        <v>32</v>
      </c>
      <c r="F6">
        <v>163</v>
      </c>
      <c r="G6" s="1">
        <v>1000.6451388888854</v>
      </c>
      <c r="I6" t="str">
        <f>Translations!$K357</f>
        <v>Crewed missions</v>
      </c>
      <c r="J6" t="str">
        <f>Translations!$K$363</f>
        <v>Crewed missions to space</v>
      </c>
      <c r="K6" t="str">
        <f>Translations!$K367</f>
        <v>In this particular area chart, we see how often we have launched a "crewed mission" for each of the last 6 decades. A crewed mission is any mission to space that carries people.</v>
      </c>
      <c r="L6" t="str">
        <f>Translations!$K$372</f>
        <v>Crewed spacecraft launched</v>
      </c>
      <c r="M6" t="str">
        <f>Translations!$K$375</f>
        <v>Crewed spacecraft launched by decade and destination</v>
      </c>
      <c r="N6" t="e">
        <f>IF(DD_P5_Sel=Tbl_P5B[[#This Row],[Dropdown]],1,NA())</f>
        <v>#N/A</v>
      </c>
      <c r="O6">
        <v>4</v>
      </c>
      <c r="Q6" t="s">
        <v>955</v>
      </c>
      <c r="T6" s="29" cm="1">
        <f t="array" ref="T6">ROW()-ROW(Tbl_P5F13[#Headers])</f>
        <v>3</v>
      </c>
      <c r="U6" s="29" t="b">
        <f>OR(AND(DD_P5_SelNum&lt;4,Tbl_P5F13[[#This Row],[Row]]=6),AND(DD_P5_SelNum&gt;=4,Tbl_P5F13[[#This Row],[Row]]&lt;6))</f>
        <v>0</v>
      </c>
      <c r="V6" s="27" t="str">
        <f>'5.Visualizing with COMPLEXITY'!D27</f>
        <v>Other Space Station</v>
      </c>
      <c r="W6" s="29" t="e">
        <f>IF(Tbl_P5F13[[#This Row],[Visible]],'5.Visualizing with COMPLEXITY'!E27,NA())</f>
        <v>#N/A</v>
      </c>
      <c r="X6" s="29" t="e">
        <f>IF(Tbl_P5F13[[#This Row],[Visible]],'5.Visualizing with COMPLEXITY'!F27,NA())</f>
        <v>#N/A</v>
      </c>
      <c r="Y6" s="29" t="e">
        <f>IF(Tbl_P5F13[[#This Row],[Visible]],'5.Visualizing with COMPLEXITY'!G27,NA())</f>
        <v>#N/A</v>
      </c>
      <c r="Z6" s="29" t="e">
        <f>IF(Tbl_P5F13[[#This Row],[Visible]],'5.Visualizing with COMPLEXITY'!H27,NA())</f>
        <v>#N/A</v>
      </c>
      <c r="AA6" s="29" t="e">
        <f>IF(Tbl_P5F13[[#This Row],[Visible]],'5.Visualizing with COMPLEXITY'!I27,NA())</f>
        <v>#N/A</v>
      </c>
      <c r="AB6" s="29" t="e">
        <f>IF(Tbl_P5F13[[#This Row],[Visible]],'5.Visualizing with COMPLEXITY'!J27,NA())</f>
        <v>#N/A</v>
      </c>
    </row>
    <row r="7" spans="2:28" ht="18.75" customHeight="1">
      <c r="B7">
        <v>1990</v>
      </c>
      <c r="C7" t="str">
        <f>Translations!$K$350</f>
        <v>Earth Orbit</v>
      </c>
      <c r="D7" t="str">
        <f>Tbl_Ex2_Data[[#This Row],[Decade]]&amp;"-"&amp;Tbl_Ex2_Data[[#This Row],[Destination]]</f>
        <v>1990-Earth Orbit</v>
      </c>
      <c r="E7">
        <v>53</v>
      </c>
      <c r="F7">
        <v>324</v>
      </c>
      <c r="G7" s="1">
        <v>3311.3055555555402</v>
      </c>
      <c r="I7" t="str">
        <f>Translations!$K358</f>
        <v>Stacking with color</v>
      </c>
      <c r="J7" t="str">
        <f>Translations!$K$364</f>
        <v>Stacked area chart</v>
      </c>
      <c r="K7" t="str">
        <f>Translations!$K368</f>
        <v>Introducing COLOR to this area chart allows the visual to split into smaller components, like pieces of a puzzle. While the original area chart illustrated the change, splitting the chart into "pieces" focuses on the destination of the crewed missions over time.</v>
      </c>
      <c r="L7" t="str">
        <f>Translations!$K$372</f>
        <v>Crewed spacecraft launched</v>
      </c>
      <c r="M7" t="str">
        <f>Translations!$K$375</f>
        <v>Crewed spacecraft launched by decade and destination</v>
      </c>
      <c r="N7" t="e">
        <f>IF(DD_P5_Sel=Tbl_P5B[[#This Row],[Dropdown]],1,NA())</f>
        <v>#N/A</v>
      </c>
      <c r="O7">
        <v>4</v>
      </c>
      <c r="Q7" t="s">
        <v>957</v>
      </c>
      <c r="T7" s="29" cm="1">
        <f t="array" ref="T7">ROW()-ROW(Tbl_P5F13[#Headers])</f>
        <v>4</v>
      </c>
      <c r="U7" s="29" t="b">
        <f>OR(AND(DD_P5_SelNum&lt;4,Tbl_P5F13[[#This Row],[Row]]=6),AND(DD_P5_SelNum&gt;=4,Tbl_P5F13[[#This Row],[Row]]&lt;6))</f>
        <v>0</v>
      </c>
      <c r="V7" s="27" t="str">
        <f>'5.Visualizing with COMPLEXITY'!D28</f>
        <v>Mir Space Station</v>
      </c>
      <c r="W7" s="29" t="e">
        <f>IF(Tbl_P5F13[[#This Row],[Visible]],'5.Visualizing with COMPLEXITY'!E28,NA())</f>
        <v>#N/A</v>
      </c>
      <c r="X7" s="29" t="e">
        <f>IF(Tbl_P5F13[[#This Row],[Visible]],'5.Visualizing with COMPLEXITY'!F28,NA())</f>
        <v>#N/A</v>
      </c>
      <c r="Y7" s="29" t="e">
        <f>IF(Tbl_P5F13[[#This Row],[Visible]],'5.Visualizing with COMPLEXITY'!G28,NA())</f>
        <v>#N/A</v>
      </c>
      <c r="Z7" s="29" t="e">
        <f>IF(Tbl_P5F13[[#This Row],[Visible]],'5.Visualizing with COMPLEXITY'!H28,NA())</f>
        <v>#N/A</v>
      </c>
      <c r="AA7" s="29" t="e">
        <f>IF(Tbl_P5F13[[#This Row],[Visible]],'5.Visualizing with COMPLEXITY'!I28,NA())</f>
        <v>#N/A</v>
      </c>
      <c r="AB7" s="29" t="e">
        <f>IF(Tbl_P5F13[[#This Row],[Visible]],'5.Visualizing with COMPLEXITY'!J28,NA())</f>
        <v>#N/A</v>
      </c>
    </row>
    <row r="8" spans="2:28" ht="18.75" customHeight="1">
      <c r="B8">
        <v>2000</v>
      </c>
      <c r="C8" t="str">
        <f>Translations!$K$350</f>
        <v>Earth Orbit</v>
      </c>
      <c r="D8" t="str">
        <f>Tbl_Ex2_Data[[#This Row],[Decade]]&amp;"-"&amp;Tbl_Ex2_Data[[#This Row],[Destination]]</f>
        <v>2000-Earth Orbit</v>
      </c>
      <c r="E8">
        <v>7</v>
      </c>
      <c r="F8">
        <v>33</v>
      </c>
      <c r="G8" s="1">
        <v>364.7814684027253</v>
      </c>
      <c r="I8" t="str">
        <f>Translations!$K359</f>
        <v>Where have we gone?</v>
      </c>
      <c r="J8" t="str">
        <f>Translations!$K$363</f>
        <v>Crewed missions to space</v>
      </c>
      <c r="K8" t="str">
        <f>Translations!$K369</f>
        <v>Splitting destinations into these five categories illustrates our history of both lunar travel, and extended space travel. Space stations are habitats in space where crews can live for long periods of time. The ISS has now had a person in space constantly for the last 20 years!</v>
      </c>
      <c r="L8" t="str">
        <f>Translations!$K$372</f>
        <v>Crewed spacecraft launched</v>
      </c>
      <c r="M8" t="str">
        <f>Translations!$K$375</f>
        <v>Crewed spacecraft launched by decade and destination</v>
      </c>
      <c r="N8" t="e">
        <f>IF(DD_P5_Sel=Tbl_P5B[[#This Row],[Dropdown]],1,NA())</f>
        <v>#N/A</v>
      </c>
      <c r="O8">
        <v>4</v>
      </c>
      <c r="Q8" t="s">
        <v>959</v>
      </c>
      <c r="T8" s="29" cm="1">
        <f t="array" ref="T8">ROW()-ROW(Tbl_P5F13[#Headers])</f>
        <v>5</v>
      </c>
      <c r="U8" s="29" t="b">
        <f>OR(AND(DD_P5_SelNum&lt;4,Tbl_P5F13[[#This Row],[Row]]=6),AND(DD_P5_SelNum&gt;=4,Tbl_P5F13[[#This Row],[Row]]&lt;6))</f>
        <v>0</v>
      </c>
      <c r="V8" s="27" t="str">
        <f>'5.Visualizing with COMPLEXITY'!D29</f>
        <v>International Space Station</v>
      </c>
      <c r="W8" s="29" t="e">
        <f>IF(Tbl_P5F13[[#This Row],[Visible]],'5.Visualizing with COMPLEXITY'!E29,NA())</f>
        <v>#N/A</v>
      </c>
      <c r="X8" s="29" t="e">
        <f>IF(Tbl_P5F13[[#This Row],[Visible]],'5.Visualizing with COMPLEXITY'!F29,NA())</f>
        <v>#N/A</v>
      </c>
      <c r="Y8" s="29" t="e">
        <f>IF(Tbl_P5F13[[#This Row],[Visible]],'5.Visualizing with COMPLEXITY'!G29,NA())</f>
        <v>#N/A</v>
      </c>
      <c r="Z8" s="29" t="e">
        <f>IF(Tbl_P5F13[[#This Row],[Visible]],'5.Visualizing with COMPLEXITY'!H29,NA())</f>
        <v>#N/A</v>
      </c>
      <c r="AA8" s="29" t="e">
        <f>IF(Tbl_P5F13[[#This Row],[Visible]],'5.Visualizing with COMPLEXITY'!I29,NA())</f>
        <v>#N/A</v>
      </c>
      <c r="AB8" s="29" t="e">
        <f>IF(Tbl_P5F13[[#This Row],[Visible]],'5.Visualizing with COMPLEXITY'!J29,NA())</f>
        <v>#N/A</v>
      </c>
    </row>
    <row r="9" spans="2:28" ht="18.75" customHeight="1">
      <c r="B9">
        <v>2010</v>
      </c>
      <c r="C9" t="str">
        <f>Translations!$K$350</f>
        <v>Earth Orbit</v>
      </c>
      <c r="D9" t="str">
        <f>Tbl_Ex2_Data[[#This Row],[Decade]]&amp;"-"&amp;Tbl_Ex2_Data[[#This Row],[Destination]]</f>
        <v>2010-Earth Orbit</v>
      </c>
      <c r="E9">
        <v>0</v>
      </c>
      <c r="F9">
        <v>0</v>
      </c>
      <c r="G9" s="1">
        <v>0</v>
      </c>
      <c r="I9" t="str">
        <f>Translations!$K360</f>
        <v>People Sent to Space</v>
      </c>
      <c r="J9" t="str">
        <f>Translations!$K$360</f>
        <v>People Sent to Space</v>
      </c>
      <c r="K9" t="str">
        <f>Translations!$K370</f>
        <v>While the earliest spacecraft flew with just a single crewmember inside, most missions now include 2-4 people. The current record is 8 people carried to space on the same spacecraft!</v>
      </c>
      <c r="L9" t="str">
        <f>Translations!$K$373</f>
        <v>People in space</v>
      </c>
      <c r="M9" t="str">
        <f>Translations!$K$376</f>
        <v>People in space by decade and destination</v>
      </c>
      <c r="N9" t="e">
        <f>IF(DD_P5_Sel=Tbl_P5B[[#This Row],[Dropdown]],1,NA())</f>
        <v>#N/A</v>
      </c>
      <c r="O9">
        <v>5</v>
      </c>
      <c r="Q9" t="s">
        <v>961</v>
      </c>
      <c r="T9" s="29" cm="1">
        <f t="array" ref="T9">ROW()-ROW(Tbl_P5F13[#Headers])</f>
        <v>6</v>
      </c>
      <c r="U9" s="29" t="b">
        <f>OR(AND(DD_P5_SelNum&lt;4,Tbl_P5F13[[#This Row],[Row]]=6),AND(DD_P5_SelNum&gt;=4,Tbl_P5F13[[#This Row],[Row]]&lt;6))</f>
        <v>1</v>
      </c>
      <c r="V9" s="27" t="str">
        <f>'5.Visualizing with COMPLEXITY'!D30</f>
        <v>Total</v>
      </c>
      <c r="W9" s="29">
        <f>IF(Tbl_P5F13[[#This Row],[Visible]],'5.Visualizing with COMPLEXITY'!E30,NA())</f>
        <v>35</v>
      </c>
      <c r="X9" s="29">
        <f>IF(Tbl_P5F13[[#This Row],[Visible]],'5.Visualizing with COMPLEXITY'!F30,NA())</f>
        <v>34</v>
      </c>
      <c r="Y9" s="29">
        <f>IF(Tbl_P5F13[[#This Row],[Visible]],'5.Visualizing with COMPLEXITY'!G30,NA())</f>
        <v>58</v>
      </c>
      <c r="Z9" s="29">
        <f>IF(Tbl_P5F13[[#This Row],[Visible]],'5.Visualizing with COMPLEXITY'!H30,NA())</f>
        <v>85</v>
      </c>
      <c r="AA9" s="29">
        <f>IF(Tbl_P5F13[[#This Row],[Visible]],'5.Visualizing with COMPLEXITY'!I30,NA())</f>
        <v>58</v>
      </c>
      <c r="AB9" s="29">
        <f>IF(Tbl_P5F13[[#This Row],[Visible]],'5.Visualizing with COMPLEXITY'!J30,NA())</f>
        <v>47</v>
      </c>
    </row>
    <row r="10" spans="2:28" ht="18.75" customHeight="1">
      <c r="B10">
        <v>2020</v>
      </c>
      <c r="C10" t="str">
        <f>Translations!$K$350</f>
        <v>Earth Orbit</v>
      </c>
      <c r="D10" t="str">
        <f>Tbl_Ex2_Data[[#This Row],[Decade]]&amp;"-"&amp;Tbl_Ex2_Data[[#This Row],[Destination]]</f>
        <v>2020-Earth Orbit</v>
      </c>
      <c r="E10">
        <v>0</v>
      </c>
      <c r="F10">
        <v>0</v>
      </c>
      <c r="G10" s="1">
        <v>0</v>
      </c>
      <c r="I10" t="str">
        <f>Translations!$K361</f>
        <v>Time in Space</v>
      </c>
      <c r="J10" t="str">
        <f>Translations!$K$361</f>
        <v>Time in Space</v>
      </c>
      <c r="K10" t="str">
        <f>Translations!$K371</f>
        <v>While the destinations of crewed missions have changed, so have their time in space. This chart adds all the days in space of the different explorers for each decade.</v>
      </c>
      <c r="L10" t="str">
        <f>Translations!$K$374</f>
        <v>Human days in space</v>
      </c>
      <c r="M10" t="str">
        <f>Translations!$K$377</f>
        <v>Human days in space by decade and destination</v>
      </c>
      <c r="N10" t="e">
        <f>IF(DD_P5_Sel=Tbl_P5B[[#This Row],[Dropdown]],1,NA())</f>
        <v>#N/A</v>
      </c>
      <c r="O10">
        <v>6</v>
      </c>
    </row>
    <row r="11" spans="2:28" ht="18.75" customHeight="1">
      <c r="B11">
        <v>1960</v>
      </c>
      <c r="C11" t="str">
        <f>Translations!$K$351</f>
        <v>Lunar Mission</v>
      </c>
      <c r="D11" t="str">
        <f>Tbl_Ex2_Data[[#This Row],[Decade]]&amp;"-"&amp;Tbl_Ex2_Data[[#This Row],[Destination]]</f>
        <v>1960-Lunar Mission</v>
      </c>
      <c r="E11">
        <v>4</v>
      </c>
      <c r="F11">
        <v>12</v>
      </c>
      <c r="G11" s="1">
        <v>97.372916666656238</v>
      </c>
    </row>
    <row r="12" spans="2:28" ht="18.75" customHeight="1">
      <c r="B12">
        <v>1970</v>
      </c>
      <c r="C12" t="str">
        <f>Translations!$K$351</f>
        <v>Lunar Mission</v>
      </c>
      <c r="D12" t="str">
        <f>Tbl_Ex2_Data[[#This Row],[Decade]]&amp;"-"&amp;Tbl_Ex2_Data[[#This Row],[Destination]]</f>
        <v>1970-Lunar Mission</v>
      </c>
      <c r="E12">
        <v>5</v>
      </c>
      <c r="F12">
        <v>15</v>
      </c>
      <c r="G12" s="1">
        <v>152.7333333333263</v>
      </c>
      <c r="I12">
        <f>IF(DD_P5_SelNum&lt;4,1,0)</f>
        <v>1</v>
      </c>
      <c r="M12">
        <v>1</v>
      </c>
      <c r="N12">
        <v>2</v>
      </c>
      <c r="O12">
        <v>3</v>
      </c>
    </row>
    <row r="13" spans="2:28" ht="18.75" customHeight="1">
      <c r="B13">
        <v>1980</v>
      </c>
      <c r="C13" t="str">
        <f>Translations!$K$351</f>
        <v>Lunar Mission</v>
      </c>
      <c r="D13" t="str">
        <f>Tbl_Ex2_Data[[#This Row],[Decade]]&amp;"-"&amp;Tbl_Ex2_Data[[#This Row],[Destination]]</f>
        <v>1980-Lunar Mission</v>
      </c>
      <c r="E13">
        <v>0</v>
      </c>
      <c r="F13">
        <v>0</v>
      </c>
      <c r="G13" s="1">
        <v>0</v>
      </c>
      <c r="I13">
        <f>1-I12</f>
        <v>0</v>
      </c>
      <c r="M13" cm="1">
        <f t="array" ref="M13">_xlfn.SWITCH(DD_P5_SelNum,6,NA(),7,NA(),1)</f>
        <v>1</v>
      </c>
      <c r="N13" t="e" cm="1">
        <f t="array" ref="N13">_xlfn.SWITCH(DD_P5_SelNum,6,1,7,NA(),NA())</f>
        <v>#N/A</v>
      </c>
      <c r="O13" t="e" cm="1">
        <f t="array" ref="O13">_xlfn.SWITCH(DD_P5_SelNum,6,NA(),7,1,NA())</f>
        <v>#N/A</v>
      </c>
    </row>
    <row r="14" spans="2:28" ht="18.75" customHeight="1">
      <c r="B14">
        <v>1990</v>
      </c>
      <c r="C14" t="str">
        <f>Translations!$K$351</f>
        <v>Lunar Mission</v>
      </c>
      <c r="D14" t="str">
        <f>Tbl_Ex2_Data[[#This Row],[Decade]]&amp;"-"&amp;Tbl_Ex2_Data[[#This Row],[Destination]]</f>
        <v>1990-Lunar Mission</v>
      </c>
      <c r="E14">
        <v>0</v>
      </c>
      <c r="F14">
        <v>0</v>
      </c>
      <c r="G14" s="1">
        <v>0</v>
      </c>
    </row>
    <row r="15" spans="2:28" ht="18.75" customHeight="1">
      <c r="B15">
        <v>2000</v>
      </c>
      <c r="C15" t="str">
        <f>Translations!$K$351</f>
        <v>Lunar Mission</v>
      </c>
      <c r="D15" t="str">
        <f>Tbl_Ex2_Data[[#This Row],[Decade]]&amp;"-"&amp;Tbl_Ex2_Data[[#This Row],[Destination]]</f>
        <v>2000-Lunar Mission</v>
      </c>
      <c r="E15">
        <v>0</v>
      </c>
      <c r="F15">
        <v>0</v>
      </c>
      <c r="G15" s="1">
        <v>0</v>
      </c>
    </row>
    <row r="16" spans="2:28" ht="18.75" customHeight="1">
      <c r="B16">
        <v>2010</v>
      </c>
      <c r="C16" t="str">
        <f>Translations!$K$351</f>
        <v>Lunar Mission</v>
      </c>
      <c r="D16" t="str">
        <f>Tbl_Ex2_Data[[#This Row],[Decade]]&amp;"-"&amp;Tbl_Ex2_Data[[#This Row],[Destination]]</f>
        <v>2010-Lunar Mission</v>
      </c>
      <c r="E16">
        <v>0</v>
      </c>
      <c r="F16">
        <v>0</v>
      </c>
      <c r="G16" s="1">
        <v>0</v>
      </c>
    </row>
    <row r="17" spans="2:15" ht="18.75" customHeight="1">
      <c r="B17">
        <v>2020</v>
      </c>
      <c r="C17" t="str">
        <f>Translations!$K$351</f>
        <v>Lunar Mission</v>
      </c>
      <c r="D17" t="str">
        <f>Tbl_Ex2_Data[[#This Row],[Decade]]&amp;"-"&amp;Tbl_Ex2_Data[[#This Row],[Destination]]</f>
        <v>2020-Lunar Mission</v>
      </c>
      <c r="E17">
        <v>0</v>
      </c>
      <c r="F17">
        <v>0</v>
      </c>
      <c r="G17" s="1">
        <v>0</v>
      </c>
    </row>
    <row r="18" spans="2:15" ht="18.75" customHeight="1">
      <c r="B18">
        <v>1960</v>
      </c>
      <c r="C18" t="str">
        <f>Translations!$K$352</f>
        <v>Other Space Station</v>
      </c>
      <c r="D18" t="str">
        <f>Tbl_Ex2_Data[[#This Row],[Decade]]&amp;"-"&amp;Tbl_Ex2_Data[[#This Row],[Destination]]</f>
        <v>1960-Other Space Station</v>
      </c>
      <c r="E18">
        <v>0</v>
      </c>
      <c r="F18">
        <v>0</v>
      </c>
      <c r="G18" s="1">
        <v>0</v>
      </c>
      <c r="I18" t="s">
        <v>1103</v>
      </c>
      <c r="J18" t="s">
        <v>1104</v>
      </c>
      <c r="K18" t="s">
        <v>1105</v>
      </c>
      <c r="O18" t="s">
        <v>1106</v>
      </c>
    </row>
    <row r="19" spans="2:15" ht="18.75" customHeight="1">
      <c r="B19">
        <v>1970</v>
      </c>
      <c r="C19" t="str">
        <f>Translations!$K$352</f>
        <v>Other Space Station</v>
      </c>
      <c r="D19" t="str">
        <f>Tbl_Ex2_Data[[#This Row],[Decade]]&amp;"-"&amp;Tbl_Ex2_Data[[#This Row],[Destination]]</f>
        <v>1970-Other Space Station</v>
      </c>
      <c r="E19">
        <v>18</v>
      </c>
      <c r="F19">
        <v>39</v>
      </c>
      <c r="G19" s="1">
        <v>1823.8841087962828</v>
      </c>
      <c r="I19" t="s">
        <v>1107</v>
      </c>
      <c r="J19" t="s">
        <v>1106</v>
      </c>
      <c r="K19" t="s">
        <v>1108</v>
      </c>
      <c r="M19" t="s">
        <v>1109</v>
      </c>
      <c r="O19" t="s">
        <v>1110</v>
      </c>
    </row>
    <row r="20" spans="2:15" ht="18.75" customHeight="1">
      <c r="B20">
        <v>1980</v>
      </c>
      <c r="C20" t="str">
        <f>Translations!$K$352</f>
        <v>Other Space Station</v>
      </c>
      <c r="D20" t="str">
        <f>Tbl_Ex2_Data[[#This Row],[Decade]]&amp;"-"&amp;Tbl_Ex2_Data[[#This Row],[Destination]]</f>
        <v>1980-Other Space Station</v>
      </c>
      <c r="E20">
        <v>18</v>
      </c>
      <c r="F20">
        <v>43</v>
      </c>
      <c r="G20" s="1">
        <v>2602.2062500000102</v>
      </c>
      <c r="I20" t="s">
        <v>1111</v>
      </c>
      <c r="J20" t="s">
        <v>1110</v>
      </c>
      <c r="K20" t="s">
        <v>1112</v>
      </c>
      <c r="L20" t="s">
        <v>1113</v>
      </c>
      <c r="O20" t="s">
        <v>1114</v>
      </c>
    </row>
    <row r="21" spans="2:15" ht="18.75" customHeight="1">
      <c r="B21">
        <v>1990</v>
      </c>
      <c r="C21" t="str">
        <f>Translations!$K$352</f>
        <v>Other Space Station</v>
      </c>
      <c r="D21" t="str">
        <f>Tbl_Ex2_Data[[#This Row],[Decade]]&amp;"-"&amp;Tbl_Ex2_Data[[#This Row],[Destination]]</f>
        <v>1990-Other Space Station</v>
      </c>
      <c r="E21">
        <v>0</v>
      </c>
      <c r="F21">
        <v>0</v>
      </c>
      <c r="G21" s="1">
        <v>0</v>
      </c>
      <c r="I21" t="s">
        <v>1115</v>
      </c>
      <c r="J21" t="s">
        <v>1114</v>
      </c>
      <c r="K21" t="s">
        <v>1112</v>
      </c>
      <c r="L21" t="s">
        <v>1113</v>
      </c>
      <c r="O21" t="s">
        <v>1116</v>
      </c>
    </row>
    <row r="22" spans="2:15" ht="18.75" customHeight="1">
      <c r="B22">
        <v>2000</v>
      </c>
      <c r="C22" t="str">
        <f>Translations!$K$352</f>
        <v>Other Space Station</v>
      </c>
      <c r="D22" t="str">
        <f>Tbl_Ex2_Data[[#This Row],[Decade]]&amp;"-"&amp;Tbl_Ex2_Data[[#This Row],[Destination]]</f>
        <v>2000-Other Space Station</v>
      </c>
      <c r="E22">
        <v>0</v>
      </c>
      <c r="F22">
        <v>0</v>
      </c>
      <c r="G22" s="1">
        <v>0</v>
      </c>
      <c r="I22" t="s">
        <v>1117</v>
      </c>
      <c r="J22" t="s">
        <v>1116</v>
      </c>
      <c r="K22" t="s">
        <v>1108</v>
      </c>
      <c r="L22" t="s">
        <v>1118</v>
      </c>
      <c r="O22" t="s">
        <v>1119</v>
      </c>
    </row>
    <row r="23" spans="2:15" ht="18.75" customHeight="1">
      <c r="B23">
        <v>2010</v>
      </c>
      <c r="C23" t="str">
        <f>Translations!$K$352</f>
        <v>Other Space Station</v>
      </c>
      <c r="D23" t="str">
        <f>Tbl_Ex2_Data[[#This Row],[Decade]]&amp;"-"&amp;Tbl_Ex2_Data[[#This Row],[Destination]]</f>
        <v>2010-Other Space Station</v>
      </c>
      <c r="E23">
        <v>3</v>
      </c>
      <c r="F23">
        <v>8</v>
      </c>
      <c r="G23" s="1">
        <v>146.27534722222481</v>
      </c>
      <c r="I23" t="s">
        <v>1120</v>
      </c>
      <c r="J23" t="s">
        <v>1119</v>
      </c>
      <c r="K23" t="s">
        <v>1108</v>
      </c>
      <c r="L23" t="s">
        <v>1121</v>
      </c>
      <c r="O23" t="s">
        <v>1122</v>
      </c>
    </row>
    <row r="24" spans="2:15" ht="18.75" customHeight="1">
      <c r="B24">
        <v>2020</v>
      </c>
      <c r="C24" t="str">
        <f>Translations!$K$352</f>
        <v>Other Space Station</v>
      </c>
      <c r="D24" t="str">
        <f>Tbl_Ex2_Data[[#This Row],[Decade]]&amp;"-"&amp;Tbl_Ex2_Data[[#This Row],[Destination]]</f>
        <v>2020-Other Space Station</v>
      </c>
      <c r="E24">
        <v>0</v>
      </c>
      <c r="F24">
        <v>0</v>
      </c>
      <c r="G24" s="1">
        <v>0</v>
      </c>
      <c r="I24" t="s">
        <v>1123</v>
      </c>
      <c r="J24" t="s">
        <v>1122</v>
      </c>
      <c r="K24" t="s">
        <v>1108</v>
      </c>
      <c r="L24" t="s">
        <v>1124</v>
      </c>
      <c r="O24" t="s">
        <v>1125</v>
      </c>
    </row>
    <row r="25" spans="2:15" ht="18.75" customHeight="1">
      <c r="B25">
        <v>1960</v>
      </c>
      <c r="C25" t="str">
        <f>Translations!$K$353</f>
        <v>Mir Space Station</v>
      </c>
      <c r="D25" t="str">
        <f>Tbl_Ex2_Data[[#This Row],[Decade]]&amp;"-"&amp;Tbl_Ex2_Data[[#This Row],[Destination]]</f>
        <v>1960-Mir Space Station</v>
      </c>
      <c r="E25">
        <v>0</v>
      </c>
      <c r="F25">
        <v>0</v>
      </c>
      <c r="G25" s="1">
        <v>0</v>
      </c>
      <c r="I25" t="s">
        <v>1126</v>
      </c>
      <c r="J25" t="s">
        <v>1125</v>
      </c>
      <c r="K25" t="s">
        <v>1108</v>
      </c>
      <c r="L25" t="s">
        <v>1127</v>
      </c>
    </row>
    <row r="26" spans="2:15" ht="18.75" customHeight="1">
      <c r="B26">
        <v>1970</v>
      </c>
      <c r="C26" t="str">
        <f>Translations!$K$353</f>
        <v>Mir Space Station</v>
      </c>
      <c r="D26" t="str">
        <f>Tbl_Ex2_Data[[#This Row],[Decade]]&amp;"-"&amp;Tbl_Ex2_Data[[#This Row],[Destination]]</f>
        <v>1970-Mir Space Station</v>
      </c>
      <c r="E26">
        <v>0</v>
      </c>
      <c r="F26">
        <v>0</v>
      </c>
      <c r="G26" s="1">
        <v>0</v>
      </c>
    </row>
    <row r="27" spans="2:15" ht="18.75" customHeight="1">
      <c r="B27">
        <v>1980</v>
      </c>
      <c r="C27" t="str">
        <f>Translations!$K$353</f>
        <v>Mir Space Station</v>
      </c>
      <c r="D27" t="str">
        <f>Tbl_Ex2_Data[[#This Row],[Decade]]&amp;"-"&amp;Tbl_Ex2_Data[[#This Row],[Destination]]</f>
        <v>1980-Mir Space Station</v>
      </c>
      <c r="E27">
        <v>8</v>
      </c>
      <c r="F27">
        <v>21</v>
      </c>
      <c r="G27" s="1">
        <v>2614.768749999992</v>
      </c>
    </row>
    <row r="28" spans="2:15" ht="18.75" customHeight="1">
      <c r="B28">
        <v>1990</v>
      </c>
      <c r="C28" t="str">
        <f>Translations!$K$353</f>
        <v>Mir Space Station</v>
      </c>
      <c r="D28" t="str">
        <f>Tbl_Ex2_Data[[#This Row],[Decade]]&amp;"-"&amp;Tbl_Ex2_Data[[#This Row],[Destination]]</f>
        <v>1990-Mir Space Station</v>
      </c>
      <c r="E28">
        <v>30</v>
      </c>
      <c r="F28">
        <v>114</v>
      </c>
      <c r="G28" s="1">
        <v>9878.6640277777115</v>
      </c>
    </row>
    <row r="29" spans="2:15" ht="18.75" customHeight="1">
      <c r="B29">
        <v>2000</v>
      </c>
      <c r="C29" t="str">
        <f>Translations!$K$353</f>
        <v>Mir Space Station</v>
      </c>
      <c r="D29" t="str">
        <f>Tbl_Ex2_Data[[#This Row],[Decade]]&amp;"-"&amp;Tbl_Ex2_Data[[#This Row],[Destination]]</f>
        <v>2000-Mir Space Station</v>
      </c>
      <c r="E29">
        <v>1</v>
      </c>
      <c r="F29">
        <v>2</v>
      </c>
      <c r="G29" s="1">
        <v>145.64166666666279</v>
      </c>
    </row>
    <row r="30" spans="2:15" ht="18.75" customHeight="1">
      <c r="B30">
        <v>2010</v>
      </c>
      <c r="C30" t="str">
        <f>Translations!$K$353</f>
        <v>Mir Space Station</v>
      </c>
      <c r="D30" t="str">
        <f>Tbl_Ex2_Data[[#This Row],[Decade]]&amp;"-"&amp;Tbl_Ex2_Data[[#This Row],[Destination]]</f>
        <v>2010-Mir Space Station</v>
      </c>
      <c r="E30">
        <v>0</v>
      </c>
      <c r="F30">
        <v>0</v>
      </c>
      <c r="G30" s="1">
        <v>0</v>
      </c>
    </row>
    <row r="31" spans="2:15" ht="18.75" customHeight="1">
      <c r="B31">
        <v>2020</v>
      </c>
      <c r="C31" t="str">
        <f>Translations!$K$353</f>
        <v>Mir Space Station</v>
      </c>
      <c r="D31" t="str">
        <f>Tbl_Ex2_Data[[#This Row],[Decade]]&amp;"-"&amp;Tbl_Ex2_Data[[#This Row],[Destination]]</f>
        <v>2020-Mir Space Station</v>
      </c>
      <c r="E31">
        <v>0</v>
      </c>
      <c r="F31">
        <v>0</v>
      </c>
      <c r="G31" s="1">
        <v>0</v>
      </c>
    </row>
    <row r="32" spans="2:15" ht="18.75" customHeight="1">
      <c r="B32">
        <v>1960</v>
      </c>
      <c r="C32" t="str">
        <f>Translations!$K$354</f>
        <v>International Space Station</v>
      </c>
      <c r="D32" t="str">
        <f>Tbl_Ex2_Data[[#This Row],[Decade]]&amp;"-"&amp;Tbl_Ex2_Data[[#This Row],[Destination]]</f>
        <v>1960-International Space Station</v>
      </c>
      <c r="E32">
        <v>0</v>
      </c>
      <c r="F32">
        <v>0</v>
      </c>
      <c r="G32" s="1">
        <v>0</v>
      </c>
    </row>
    <row r="33" spans="2:7" ht="18.75" customHeight="1">
      <c r="B33">
        <v>1970</v>
      </c>
      <c r="C33" t="str">
        <f>Translations!$K$354</f>
        <v>International Space Station</v>
      </c>
      <c r="D33" t="str">
        <f>Tbl_Ex2_Data[[#This Row],[Decade]]&amp;"-"&amp;Tbl_Ex2_Data[[#This Row],[Destination]]</f>
        <v>1970-International Space Station</v>
      </c>
      <c r="E33">
        <v>0</v>
      </c>
      <c r="F33">
        <v>0</v>
      </c>
      <c r="G33" s="1">
        <v>0</v>
      </c>
    </row>
    <row r="34" spans="2:7" ht="18.75" customHeight="1">
      <c r="B34">
        <v>1980</v>
      </c>
      <c r="C34" t="str">
        <f>Translations!$K$354</f>
        <v>International Space Station</v>
      </c>
      <c r="D34" t="str">
        <f>Tbl_Ex2_Data[[#This Row],[Decade]]&amp;"-"&amp;Tbl_Ex2_Data[[#This Row],[Destination]]</f>
        <v>1980-International Space Station</v>
      </c>
      <c r="E34">
        <v>0</v>
      </c>
      <c r="F34">
        <v>0</v>
      </c>
      <c r="G34" s="1">
        <v>0</v>
      </c>
    </row>
    <row r="35" spans="2:7" ht="18.75" customHeight="1">
      <c r="B35">
        <v>1990</v>
      </c>
      <c r="C35" t="str">
        <f>Translations!$K$354</f>
        <v>International Space Station</v>
      </c>
      <c r="D35" t="str">
        <f>Tbl_Ex2_Data[[#This Row],[Decade]]&amp;"-"&amp;Tbl_Ex2_Data[[#This Row],[Destination]]</f>
        <v>1990-International Space Station</v>
      </c>
      <c r="E35">
        <v>2</v>
      </c>
      <c r="F35">
        <v>13</v>
      </c>
      <c r="G35" s="1">
        <v>139.43888888887159</v>
      </c>
    </row>
    <row r="36" spans="2:7" ht="18.75" customHeight="1">
      <c r="B36">
        <v>2000</v>
      </c>
      <c r="C36" t="str">
        <f>Translations!$K$354</f>
        <v>International Space Station</v>
      </c>
      <c r="D36" t="str">
        <f>Tbl_Ex2_Data[[#This Row],[Decade]]&amp;"-"&amp;Tbl_Ex2_Data[[#This Row],[Destination]]</f>
        <v>2000-International Space Station</v>
      </c>
      <c r="E36">
        <v>50</v>
      </c>
      <c r="F36">
        <v>256</v>
      </c>
      <c r="G36" s="1">
        <v>13108.02229166661</v>
      </c>
    </row>
    <row r="37" spans="2:7" ht="18.75" customHeight="1">
      <c r="B37">
        <v>2010</v>
      </c>
      <c r="C37" t="str">
        <f>Translations!$K$354</f>
        <v>International Space Station</v>
      </c>
      <c r="D37" t="str">
        <f>Tbl_Ex2_Data[[#This Row],[Decade]]&amp;"-"&amp;Tbl_Ex2_Data[[#This Row],[Destination]]</f>
        <v>2010-International Space Station</v>
      </c>
      <c r="E37">
        <v>44</v>
      </c>
      <c r="F37">
        <v>148</v>
      </c>
      <c r="G37" s="1">
        <v>19757.936203703772</v>
      </c>
    </row>
    <row r="38" spans="2:7" ht="18.75" customHeight="1">
      <c r="B38">
        <v>2020</v>
      </c>
      <c r="C38" t="str">
        <f>Translations!$K$354</f>
        <v>International Space Station</v>
      </c>
      <c r="D38" t="str">
        <f>Tbl_Ex2_Data[[#This Row],[Decade]]&amp;"-"&amp;Tbl_Ex2_Data[[#This Row],[Destination]]</f>
        <v>2020-International Space Station</v>
      </c>
      <c r="E38">
        <v>2</v>
      </c>
      <c r="F38">
        <v>5</v>
      </c>
      <c r="G38" s="1">
        <v>675.75818194443855</v>
      </c>
    </row>
  </sheetData>
  <pageMargins left="0.7" right="0.7" top="0.75" bottom="0.75"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44E32-3540-4D83-9BD2-CF9FC1E6A7FD}">
  <sheetPr codeName="Sheet2">
    <tabColor theme="8"/>
  </sheetPr>
  <dimension ref="A1:AB22"/>
  <sheetViews>
    <sheetView zoomScale="115" zoomScaleNormal="115" workbookViewId="0"/>
  </sheetViews>
  <sheetFormatPr defaultColWidth="0" defaultRowHeight="18.75" customHeight="1" zeroHeight="1"/>
  <cols>
    <col min="1" max="1" width="0.25" style="2" customWidth="1"/>
    <col min="2" max="3" width="2.5" style="2" customWidth="1"/>
    <col min="4" max="4" width="34.25" style="2" customWidth="1"/>
    <col min="5" max="5" width="65.875" style="2" customWidth="1"/>
    <col min="6" max="8" width="2.5" style="2" customWidth="1"/>
    <col min="9" max="9" width="25" style="2" customWidth="1"/>
    <col min="10" max="11" width="12.5" style="2" customWidth="1"/>
    <col min="12" max="12" width="6" style="2" customWidth="1"/>
    <col min="13" max="13" width="5.625" style="2" customWidth="1"/>
    <col min="14" max="14" width="15" style="2" customWidth="1"/>
    <col min="15" max="15" width="2.5" style="2" customWidth="1"/>
    <col min="16" max="16" width="9.375" style="2" customWidth="1"/>
    <col min="17" max="28" width="0" style="2" hidden="1" customWidth="1"/>
    <col min="29" max="16384" width="9.375" style="2" hidden="1"/>
  </cols>
  <sheetData>
    <row r="1" spans="1:15" ht="15" customHeight="1">
      <c r="A1" s="23" t="str">
        <f>Translations!K260</f>
        <v>Hello and welcome to your data discovery adventure! Scientists use data to solve problems and gain insights to understand and improve space travel. In this activity, explore space data through different types of visualizations to gain your OWN insights!</v>
      </c>
    </row>
    <row r="2" spans="1:15" ht="26.25" customHeight="1" thickBot="1">
      <c r="A2" s="23" t="str">
        <f>Translations!K42</f>
        <v xml:space="preserve">Activities in this lesson can be found by going through the numbered blue tabs. Successful completion of each activity will earn you your Space Data Badge! </v>
      </c>
      <c r="C2" s="104" t="str">
        <f>D12</f>
        <v>Table of Contents</v>
      </c>
      <c r="D2" s="104"/>
      <c r="E2" s="104"/>
      <c r="H2" s="105" t="str">
        <f>Translations!K41</f>
        <v>Using this workbook</v>
      </c>
      <c r="I2" s="105"/>
      <c r="J2" s="105"/>
      <c r="K2" s="105"/>
      <c r="L2" s="105"/>
      <c r="M2" s="105"/>
      <c r="N2" s="105"/>
      <c r="O2" s="6"/>
    </row>
    <row r="3" spans="1:15" ht="15" customHeight="1">
      <c r="A3" s="23" t="str">
        <f>Translations!$K$14</f>
        <v>Use the Table of Contents in cells D10 to E21 to orient yourself to the lesson. Then, when you are ready to begin, press Ctrl key plus page down key to go on to the next page.</v>
      </c>
      <c r="C3" s="106" t="str">
        <f>Translations!K260</f>
        <v>Hello and welcome to your data discovery adventure! Scientists use data to solve problems and gain insights to understand and improve space travel. In this activity, explore space data through different types of visualizations to gain your OWN insights!</v>
      </c>
      <c r="D3" s="106"/>
      <c r="E3" s="106"/>
      <c r="F3" s="106"/>
      <c r="G3" s="106"/>
      <c r="H3" s="92"/>
      <c r="I3" s="107" t="str">
        <f>Translations!K45</f>
        <v>When you complete activities, the Next button with change color. Select it to move on!</v>
      </c>
      <c r="J3" s="107"/>
      <c r="K3" s="107"/>
      <c r="L3" s="107"/>
      <c r="M3" s="107"/>
      <c r="N3" s="107"/>
      <c r="O3" s="3"/>
    </row>
    <row r="4" spans="1:15" ht="15" customHeight="1">
      <c r="C4" s="106"/>
      <c r="D4" s="106"/>
      <c r="E4" s="106"/>
      <c r="F4" s="106"/>
      <c r="G4" s="106"/>
      <c r="H4" s="92"/>
      <c r="I4" s="108"/>
      <c r="J4" s="108"/>
      <c r="K4" s="108"/>
      <c r="L4" s="108"/>
      <c r="M4" s="108"/>
      <c r="N4" s="108"/>
      <c r="O4" s="3"/>
    </row>
    <row r="5" spans="1:15" ht="15" customHeight="1">
      <c r="C5" s="106"/>
      <c r="D5" s="106"/>
      <c r="E5" s="106"/>
      <c r="F5" s="106"/>
      <c r="G5" s="106"/>
      <c r="H5" s="92"/>
      <c r="I5" s="108"/>
      <c r="J5" s="108"/>
      <c r="K5" s="108"/>
      <c r="L5" s="108"/>
      <c r="M5" s="108"/>
      <c r="N5" s="108"/>
      <c r="O5" s="3"/>
    </row>
    <row r="6" spans="1:15" ht="15" customHeight="1">
      <c r="C6" s="106"/>
      <c r="D6" s="106"/>
      <c r="E6" s="106"/>
      <c r="F6" s="106"/>
      <c r="G6" s="106"/>
      <c r="H6" s="92"/>
      <c r="I6" s="108"/>
      <c r="J6" s="108"/>
      <c r="K6" s="108"/>
      <c r="L6" s="108"/>
      <c r="M6" s="108"/>
      <c r="N6" s="108"/>
      <c r="O6" s="3"/>
    </row>
    <row r="7" spans="1:15" ht="15" customHeight="1">
      <c r="C7" s="106"/>
      <c r="D7" s="106"/>
      <c r="E7" s="106"/>
      <c r="F7" s="106"/>
      <c r="G7" s="106"/>
      <c r="H7" s="92"/>
      <c r="I7" s="108"/>
      <c r="J7" s="108"/>
      <c r="K7" s="108"/>
      <c r="L7" s="108"/>
      <c r="M7" s="108"/>
      <c r="N7" s="108"/>
      <c r="O7" s="3"/>
    </row>
    <row r="8" spans="1:15" ht="15" customHeight="1">
      <c r="C8" s="106"/>
      <c r="D8" s="106"/>
      <c r="E8" s="106"/>
      <c r="F8" s="106"/>
      <c r="G8" s="106"/>
      <c r="H8" s="92"/>
      <c r="I8" s="109" t="str">
        <f>Translations!$K$274</f>
        <v>Inside each activity you will find blue bordered boxes like this.  Select these to move through each of the activities.</v>
      </c>
      <c r="J8" s="109"/>
      <c r="K8" s="109"/>
      <c r="L8" s="109"/>
      <c r="M8" s="89"/>
      <c r="N8" s="89"/>
      <c r="O8" s="3"/>
    </row>
    <row r="9" spans="1:15" ht="15" customHeight="1">
      <c r="C9" s="12"/>
      <c r="D9" s="12"/>
      <c r="E9" s="12"/>
      <c r="F9" s="12"/>
      <c r="G9" s="40"/>
      <c r="H9" s="92"/>
      <c r="I9" s="109"/>
      <c r="J9" s="109"/>
      <c r="K9" s="109"/>
      <c r="L9" s="109"/>
      <c r="M9" s="89"/>
      <c r="N9" s="89"/>
      <c r="O9" s="3"/>
    </row>
    <row r="10" spans="1:15" ht="22.5" customHeight="1" thickBot="1">
      <c r="C10" s="12"/>
      <c r="D10" s="39" t="str">
        <f>Translations!$K$17</f>
        <v>Title</v>
      </c>
      <c r="E10" s="38" t="str">
        <f>Translations!$K$29</f>
        <v>Contents</v>
      </c>
      <c r="F10" s="12"/>
      <c r="H10" s="92"/>
      <c r="I10" s="109"/>
      <c r="J10" s="109"/>
      <c r="K10" s="109"/>
      <c r="L10" s="109"/>
      <c r="M10" s="89"/>
      <c r="N10" s="89"/>
      <c r="O10" s="3"/>
    </row>
    <row r="11" spans="1:15" ht="22.5" customHeight="1" thickBot="1">
      <c r="C11" s="12"/>
      <c r="D11" s="37" t="str">
        <f>Translations!K18</f>
        <v>Introduction</v>
      </c>
      <c r="E11" s="36" t="str">
        <f>Translations!K30</f>
        <v>Day of Data</v>
      </c>
      <c r="F11" s="12"/>
      <c r="H11" s="3"/>
      <c r="I11" s="3"/>
      <c r="J11" s="3"/>
      <c r="K11" s="3"/>
      <c r="L11" s="3"/>
      <c r="M11" s="3"/>
      <c r="N11" s="3"/>
      <c r="O11" s="3"/>
    </row>
    <row r="12" spans="1:15" ht="22.5" customHeight="1" thickBot="1">
      <c r="C12" s="12"/>
      <c r="D12" s="37" t="str">
        <f>Translations!K19</f>
        <v>Table of Contents</v>
      </c>
      <c r="E12" s="34" t="str">
        <f>Translations!K31</f>
        <v>Table of contents and workbook tutorial</v>
      </c>
      <c r="F12" s="12"/>
      <c r="H12" s="3"/>
      <c r="I12" s="46" t="s">
        <v>1</v>
      </c>
      <c r="J12" s="3"/>
      <c r="K12" s="3"/>
      <c r="L12" s="3"/>
      <c r="M12" s="3"/>
      <c r="N12" s="3"/>
      <c r="O12" s="3"/>
    </row>
    <row r="13" spans="1:15" ht="22.5" customHeight="1">
      <c r="C13" s="12"/>
      <c r="D13" s="35" t="str">
        <f>Translations!K263</f>
        <v>1. Visualizing Data</v>
      </c>
      <c r="E13" s="34" t="str">
        <f>Translations!K268</f>
        <v>Activity 1: why we visualize data</v>
      </c>
      <c r="F13" s="12"/>
      <c r="H13" s="3"/>
      <c r="I13" s="111" t="str">
        <f>INDEX('Tab1 Backend'!$C$3:$C$4,MATCH($I$12,'Tab1 Backend'!$B$3:$B$4,0))</f>
        <v>Select the box that says "Choose me!" and the gray "dropdown" box. This brings up a menu that shows what else you can select. Choose "Switch to me!".</v>
      </c>
      <c r="J13" s="111"/>
      <c r="K13" s="111"/>
      <c r="L13" s="111"/>
      <c r="M13" s="3"/>
      <c r="N13" s="3"/>
      <c r="O13" s="3"/>
    </row>
    <row r="14" spans="1:15" ht="22.5" customHeight="1">
      <c r="C14" s="12"/>
      <c r="D14" s="35" t="str">
        <f>Translations!K264</f>
        <v>2. Visualizing with Size</v>
      </c>
      <c r="E14" s="34" t="str">
        <f>Translations!K269</f>
        <v>Activity 2: why we use column charts</v>
      </c>
      <c r="F14" s="12"/>
      <c r="H14" s="3"/>
      <c r="I14" s="111"/>
      <c r="J14" s="111"/>
      <c r="K14" s="111"/>
      <c r="L14" s="111"/>
      <c r="M14" s="3"/>
      <c r="N14" s="3"/>
      <c r="O14" s="3"/>
    </row>
    <row r="15" spans="1:15" ht="22.5" customHeight="1">
      <c r="C15" s="12"/>
      <c r="D15" s="33" t="str">
        <f>Translations!K265</f>
        <v>3. Visualizing with Color</v>
      </c>
      <c r="E15" s="32" t="str">
        <f>Translations!K270</f>
        <v>Activity 3: why we use stacked column charts</v>
      </c>
      <c r="F15" s="12"/>
      <c r="H15" s="3"/>
      <c r="I15" s="111"/>
      <c r="J15" s="111"/>
      <c r="K15" s="111"/>
      <c r="L15" s="111"/>
      <c r="M15" s="3"/>
      <c r="N15" s="3"/>
      <c r="O15" s="3"/>
    </row>
    <row r="16" spans="1:15" ht="22.5" customHeight="1">
      <c r="C16" s="12"/>
      <c r="D16" s="35" t="str">
        <f>Translations!K266</f>
        <v>4. Visualizing with Position</v>
      </c>
      <c r="E16" s="34" t="str">
        <f>Translations!K271</f>
        <v>Activity 4: why we use scatter charts</v>
      </c>
      <c r="F16" s="12"/>
      <c r="H16" s="3"/>
      <c r="I16" s="111"/>
      <c r="J16" s="111"/>
      <c r="K16" s="111"/>
      <c r="L16" s="111"/>
      <c r="M16" s="3"/>
      <c r="N16" s="3"/>
      <c r="O16" s="3"/>
    </row>
    <row r="17" spans="3:15" ht="22.5" customHeight="1">
      <c r="C17" s="12"/>
      <c r="D17" s="33" t="str">
        <f>Translations!K267</f>
        <v>5. Visualizing with Complexity</v>
      </c>
      <c r="E17" s="32" t="str">
        <f>Translations!K272</f>
        <v>Activity 5: why we use area charts</v>
      </c>
      <c r="F17" s="12"/>
      <c r="H17" s="3"/>
      <c r="I17" s="110" t="str">
        <f>Translations!K44</f>
        <v>Ignore the "Unsaved Changes" warning if it appears.</v>
      </c>
      <c r="J17" s="110"/>
      <c r="K17" s="110"/>
      <c r="L17" s="110"/>
      <c r="M17" s="3"/>
      <c r="N17" s="3"/>
      <c r="O17" s="3"/>
    </row>
    <row r="18" spans="3:15" ht="22.5" customHeight="1">
      <c r="C18" s="12"/>
      <c r="D18" s="35" t="str">
        <f>Translations!K26</f>
        <v>Extensions</v>
      </c>
      <c r="E18" s="34" t="str">
        <f>Translations!K38</f>
        <v>Club for the Future "Send a postcard to space"</v>
      </c>
      <c r="F18" s="12"/>
      <c r="H18" s="3"/>
      <c r="I18" s="110"/>
      <c r="J18" s="110"/>
      <c r="K18" s="110"/>
      <c r="L18" s="110"/>
      <c r="M18" s="3"/>
      <c r="N18" s="3"/>
      <c r="O18" s="3"/>
    </row>
    <row r="19" spans="3:15" ht="22.5" customHeight="1">
      <c r="C19" s="12"/>
      <c r="D19" s="35" t="str">
        <f>Translations!K27</f>
        <v>Lesson Plan</v>
      </c>
      <c r="E19" s="34" t="str">
        <f>Translations!K39</f>
        <v>Lesson plan and standards</v>
      </c>
      <c r="F19" s="12"/>
      <c r="H19" s="3"/>
      <c r="I19" s="103" t="str">
        <f>Translations!$K$45</f>
        <v>When you complete activities, the Next button with change color. Select it to move on!</v>
      </c>
      <c r="J19" s="103"/>
      <c r="K19" s="103"/>
      <c r="L19" s="12"/>
      <c r="M19" s="3"/>
      <c r="N19" s="3"/>
      <c r="O19" s="3"/>
    </row>
    <row r="20" spans="3:15" ht="22.5" customHeight="1">
      <c r="C20" s="12"/>
      <c r="D20" s="35" t="str">
        <f>Translations!K28</f>
        <v>Student Journal</v>
      </c>
      <c r="E20" s="34" t="str">
        <f>Translations!K40</f>
        <v>Student journal for recording knowledge</v>
      </c>
      <c r="F20" s="12"/>
      <c r="H20" s="3"/>
      <c r="I20" s="103"/>
      <c r="J20" s="103"/>
      <c r="K20" s="103"/>
      <c r="L20" s="12"/>
      <c r="M20" s="12"/>
      <c r="N20" s="41" t="str">
        <f>Translations!$K$11</f>
        <v>Next</v>
      </c>
      <c r="O20" s="3"/>
    </row>
    <row r="21" spans="3:15" ht="15" customHeight="1">
      <c r="C21" s="3"/>
      <c r="D21" s="3"/>
      <c r="E21" s="3"/>
      <c r="F21" s="3"/>
      <c r="H21" s="3"/>
      <c r="I21" s="3"/>
      <c r="J21" s="3"/>
      <c r="K21" s="3"/>
      <c r="L21" s="3"/>
      <c r="M21" s="3"/>
      <c r="N21" s="3"/>
      <c r="O21" s="3"/>
    </row>
    <row r="22" spans="3:15" ht="18.75" customHeight="1"/>
  </sheetData>
  <mergeCells count="8">
    <mergeCell ref="I19:K20"/>
    <mergeCell ref="C2:E2"/>
    <mergeCell ref="H2:N2"/>
    <mergeCell ref="C3:G8"/>
    <mergeCell ref="I3:N7"/>
    <mergeCell ref="I8:L10"/>
    <mergeCell ref="I17:L18"/>
    <mergeCell ref="I13:L16"/>
  </mergeCells>
  <hyperlinks>
    <hyperlink ref="N20" location="'1.Visualizing Data'!A1" display="Next " xr:uid="{626DD08E-1962-40E0-8332-A4BEDE16FECF}"/>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00000000-000E-0000-0100-000001000000}">
            <xm:f>$I$12=Translations!$K$79</xm:f>
            <x14:dxf>
              <font>
                <color rgb="FF747474"/>
              </font>
              <fill>
                <patternFill>
                  <bgColor rgb="FFE0E0E0"/>
                </patternFill>
              </fill>
            </x14:dxf>
          </x14:cfRule>
          <xm:sqref>N20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EDFCC14-429F-4A66-9D61-4BECD3AB992C}">
          <x14:formula1>
            <xm:f>'Tab1 Backend'!$B$3:$B$4</xm:f>
          </x14:formula1>
          <xm:sqref>I12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5405-1194-4BA2-AC33-F8D14009028E}">
  <sheetPr>
    <tabColor theme="3"/>
  </sheetPr>
  <dimension ref="A1:P477"/>
  <sheetViews>
    <sheetView topLeftCell="A407" workbookViewId="0">
      <selection activeCell="P25" sqref="P25:U26"/>
    </sheetView>
  </sheetViews>
  <sheetFormatPr defaultRowHeight="16.5"/>
  <cols>
    <col min="1" max="1" width="26" customWidth="1"/>
    <col min="2" max="9" width="12.875" customWidth="1"/>
    <col min="10" max="10" width="14" customWidth="1"/>
    <col min="13" max="13" width="10" customWidth="1"/>
    <col min="14" max="14" width="11.25" customWidth="1"/>
  </cols>
  <sheetData>
    <row r="1" spans="1:16">
      <c r="A1" t="s">
        <v>2</v>
      </c>
      <c r="B1" t="s">
        <v>3</v>
      </c>
      <c r="C1" t="s">
        <v>4</v>
      </c>
      <c r="D1" t="s">
        <v>5</v>
      </c>
      <c r="E1" t="s">
        <v>6</v>
      </c>
      <c r="F1" t="s">
        <v>7</v>
      </c>
      <c r="G1" t="s">
        <v>8</v>
      </c>
      <c r="H1" t="s">
        <v>9</v>
      </c>
      <c r="I1" t="s">
        <v>10</v>
      </c>
      <c r="J1" t="s">
        <v>11</v>
      </c>
      <c r="K1" t="s">
        <v>12</v>
      </c>
      <c r="M1" t="s">
        <v>13</v>
      </c>
      <c r="N1" t="s">
        <v>14</v>
      </c>
    </row>
    <row r="2" spans="1:16">
      <c r="A2" t="s">
        <v>15</v>
      </c>
      <c r="B2" t="s">
        <v>16</v>
      </c>
      <c r="K2" t="str" cm="1">
        <f t="array" ref="K2">INDEX(Tbl_Translations[[#This Row],[Language 1]:[Language 10]],IFERROR(MATCH(Introduction!$C$22,Tbl_Langauges[Language],0),1))</f>
        <v>How Astronauts Organize Data, in partnership with NASA</v>
      </c>
      <c r="M2">
        <v>1</v>
      </c>
      <c r="N2" t="s">
        <v>0</v>
      </c>
      <c r="P2" t="str" cm="1">
        <f t="array" ref="P2:P3">_xlfn._xlws.FILTER(Tbl_Langauges[Language],Tbl_Langauges[Language]&lt;&gt;"")</f>
        <v>English</v>
      </c>
    </row>
    <row r="3" spans="1:16">
      <c r="A3" t="s">
        <v>17</v>
      </c>
      <c r="B3" t="s">
        <v>18</v>
      </c>
      <c r="K3" t="str" cm="1">
        <f t="array" ref="K3">INDEX(Tbl_Translations[[#This Row],[Language 1]:[Language 10]],IFERROR(MATCH(Introduction!$C$22,Tbl_Langauges[Language],0),1))</f>
        <v>How Astronauts Organize Data</v>
      </c>
      <c r="M3">
        <v>2</v>
      </c>
      <c r="N3" t="s">
        <v>19</v>
      </c>
      <c r="P3" t="str">
        <v>Español</v>
      </c>
    </row>
    <row r="4" spans="1:16">
      <c r="A4" t="s">
        <v>20</v>
      </c>
      <c r="B4" t="s">
        <v>21</v>
      </c>
      <c r="K4" t="str" cm="1">
        <f t="array" ref="K4">INDEX(Tbl_Translations[[#This Row],[Language 1]:[Language 10]],IFERROR(MATCH(Introduction!$C$22,Tbl_Langauges[Language],0),1))</f>
        <v>In partnership with NASA</v>
      </c>
      <c r="M4">
        <v>3</v>
      </c>
    </row>
    <row r="5" spans="1:16">
      <c r="A5" t="s">
        <v>22</v>
      </c>
      <c r="B5" t="s">
        <v>23</v>
      </c>
      <c r="K5" t="str" cm="1">
        <f t="array" ref="K5">INDEX(Tbl_Translations[[#This Row],[Language 1]:[Language 10]],IFERROR(MATCH(Introduction!$C$22,Tbl_Langauges[Language],0),1))</f>
        <v>Hacking STEM is excited to partner with NASA to bring you the Day of Data, where you can explore how data powers our astronauts, our space missions, and our world.</v>
      </c>
      <c r="M5">
        <v>4</v>
      </c>
    </row>
    <row r="6" spans="1:16">
      <c r="A6" t="s">
        <v>24</v>
      </c>
      <c r="B6" t="s">
        <v>25</v>
      </c>
      <c r="K6" t="str" cm="1">
        <f t="array" ref="K6">INDEX(Tbl_Translations[[#This Row],[Language 1]:[Language 10]],IFERROR(MATCH(Introduction!$C$22,Tbl_Langauges[Language],0),1))</f>
        <v>Explore how data can be categorized, arranged, and sorted to make seemingly random information useful. Complete all lesson activities and earn your Space Data Badge.</v>
      </c>
      <c r="M6">
        <v>5</v>
      </c>
    </row>
    <row r="7" spans="1:16">
      <c r="A7" t="s">
        <v>26</v>
      </c>
      <c r="B7" t="s">
        <v>27</v>
      </c>
      <c r="K7" t="str" cm="1">
        <f t="array" ref="K7">INDEX(Tbl_Translations[[#This Row],[Language 1]:[Language 10]],IFERROR(MATCH(Introduction!$C$22,Tbl_Langauges[Language],0),1))</f>
        <v>Have fun!</v>
      </c>
      <c r="M7">
        <v>6</v>
      </c>
    </row>
    <row r="8" spans="1:16">
      <c r="A8" t="s">
        <v>28</v>
      </c>
      <c r="B8" t="s">
        <v>29</v>
      </c>
      <c r="K8" t="str" cm="1">
        <f t="array" ref="K8">INDEX(Tbl_Translations[[#This Row],[Language 1]:[Language 10]],IFERROR(MATCH(Introduction!$C$22,Tbl_Langauges[Language],0),1))</f>
        <v>Select language</v>
      </c>
      <c r="M8">
        <v>7</v>
      </c>
    </row>
    <row r="9" spans="1:16">
      <c r="A9" t="s">
        <v>30</v>
      </c>
      <c r="B9" t="s">
        <v>16</v>
      </c>
      <c r="K9" t="str" cm="1">
        <f t="array" ref="K9">INDEX(Tbl_Translations[[#This Row],[Language 1]:[Language 10]],IFERROR(MATCH(Introduction!$C$22,Tbl_Langauges[Language],0),1))</f>
        <v xml:space="preserve">How astronauts organize data, in partnership with NASA </v>
      </c>
      <c r="M9">
        <v>8</v>
      </c>
    </row>
    <row r="10" spans="1:16">
      <c r="A10" t="s">
        <v>31</v>
      </c>
      <c r="B10" t="s">
        <v>32</v>
      </c>
      <c r="K10" t="str" cm="1">
        <f t="array" ref="K10">INDEX(Tbl_Translations[[#This Row],[Language 1]:[Language 10]],IFERROR(MATCH(Introduction!$C$22,Tbl_Langauges[Language],0),1))</f>
        <v>Press Ctrl key plus page down key to go to the next page.</v>
      </c>
      <c r="M10">
        <v>9</v>
      </c>
    </row>
    <row r="11" spans="1:16">
      <c r="A11" t="s">
        <v>33</v>
      </c>
      <c r="B11" t="s">
        <v>34</v>
      </c>
      <c r="K11" t="str" cm="1">
        <f t="array" ref="K11">INDEX(Tbl_Translations[[#This Row],[Language 1]:[Language 10]],IFERROR(MATCH(Introduction!$C$22,Tbl_Langauges[Language],0),1))</f>
        <v>Next</v>
      </c>
      <c r="M11">
        <v>10</v>
      </c>
    </row>
    <row r="12" spans="1:16">
      <c r="A12" t="s">
        <v>35</v>
      </c>
      <c r="B12" t="s">
        <v>36</v>
      </c>
      <c r="K12" t="str" cm="1">
        <f t="array" ref="K12">INDEX(Tbl_Translations[[#This Row],[Language 1]:[Language 10]],IFERROR(MATCH(Introduction!$C$22,Tbl_Langauges[Language],0),1))</f>
        <v xml:space="preserve">Hello and welcome to your data discovery adventure! Scientists use data to solve problems and gain insights to understand and improve space travel. In this activity, you will explore how space data can be grouped, arranged, and visualized, to gain your OWN insights! </v>
      </c>
    </row>
    <row r="13" spans="1:16">
      <c r="A13" t="s">
        <v>37</v>
      </c>
      <c r="B13" t="s">
        <v>38</v>
      </c>
      <c r="K13" t="str" cm="1">
        <f t="array" ref="K13">INDEX(Tbl_Translations[[#This Row],[Language 1]:[Language 10]],IFERROR(MATCH(Introduction!$C$22,Tbl_Langauges[Language],0),1))</f>
        <v xml:space="preserve">Activities in this lesson can be found by going through the numbered tabs. Successful completion of each activity will earn you your Space Data Badge! </v>
      </c>
    </row>
    <row r="14" spans="1:16">
      <c r="A14" t="s">
        <v>39</v>
      </c>
      <c r="B14" t="s">
        <v>40</v>
      </c>
      <c r="K14" t="str" cm="1">
        <f t="array" ref="K14">INDEX(Tbl_Translations[[#This Row],[Language 1]:[Language 10]],IFERROR(MATCH(Introduction!$C$22,Tbl_Langauges[Language],0),1))</f>
        <v>Use the Table of Contents in cells D10 to E21 to orient yourself to the lesson. Then, when you are ready to begin, press Ctrl key plus page down key to go on to the next page.</v>
      </c>
    </row>
    <row r="15" spans="1:16">
      <c r="A15" t="s">
        <v>41</v>
      </c>
      <c r="B15" t="s">
        <v>42</v>
      </c>
      <c r="K15" t="str" cm="1">
        <f t="array" ref="K15">INDEX(Tbl_Translations[[#This Row],[Language 1]:[Language 10]],IFERROR(MATCH(Introduction!$C$22,Tbl_Langauges[Language],0),1))</f>
        <v>Hello and welcome to your data discovery adventure!</v>
      </c>
    </row>
    <row r="16" spans="1:16">
      <c r="A16" t="s">
        <v>43</v>
      </c>
      <c r="B16" t="s">
        <v>44</v>
      </c>
      <c r="K16" t="str" cm="1">
        <f t="array" ref="K16">INDEX(Tbl_Translations[[#This Row],[Language 1]:[Language 10]],IFERROR(MATCH(Introduction!$C$22,Tbl_Langauges[Language],0),1))</f>
        <v xml:space="preserve">Scientists use data to solve problems and gain insights to understand and improve space travel. In this activity, explore how space data can be grouped, arranged, and visualized, to gain your OWN insights! </v>
      </c>
    </row>
    <row r="17" spans="1:11">
      <c r="A17" t="s">
        <v>45</v>
      </c>
      <c r="B17" t="s">
        <v>46</v>
      </c>
      <c r="K17" t="str" cm="1">
        <f t="array" ref="K17">INDEX(Tbl_Translations[[#This Row],[Language 1]:[Language 10]],IFERROR(MATCH(Introduction!$C$22,Tbl_Langauges[Language],0),1))</f>
        <v>Title</v>
      </c>
    </row>
    <row r="18" spans="1:11">
      <c r="A18" t="s">
        <v>47</v>
      </c>
      <c r="B18" t="s">
        <v>48</v>
      </c>
      <c r="K18" t="str" cm="1">
        <f t="array" ref="K18">INDEX(Tbl_Translations[[#This Row],[Language 1]:[Language 10]],IFERROR(MATCH(Introduction!$C$22,Tbl_Langauges[Language],0),1))</f>
        <v>Introduction</v>
      </c>
    </row>
    <row r="19" spans="1:11">
      <c r="A19" t="s">
        <v>49</v>
      </c>
      <c r="B19" t="s">
        <v>50</v>
      </c>
      <c r="K19" t="str" cm="1">
        <f t="array" ref="K19">INDEX(Tbl_Translations[[#This Row],[Language 1]:[Language 10]],IFERROR(MATCH(Introduction!$C$22,Tbl_Langauges[Language],0),1))</f>
        <v>Table of Contents</v>
      </c>
    </row>
    <row r="20" spans="1:11">
      <c r="A20" t="s">
        <v>51</v>
      </c>
      <c r="B20" t="s">
        <v>52</v>
      </c>
      <c r="K20" t="str" cm="1">
        <f t="array" ref="K20">INDEX(Tbl_Translations[[#This Row],[Language 1]:[Language 10]],IFERROR(MATCH(Introduction!$C$22,Tbl_Langauges[Language],0),1))</f>
        <v>1. What is data</v>
      </c>
    </row>
    <row r="21" spans="1:11">
      <c r="A21" t="s">
        <v>53</v>
      </c>
      <c r="B21" t="s">
        <v>54</v>
      </c>
      <c r="K21" t="str" cm="1">
        <f t="array" ref="K21">INDEX(Tbl_Translations[[#This Row],[Language 1]:[Language 10]],IFERROR(MATCH(Introduction!$C$22,Tbl_Langauges[Language],0),1))</f>
        <v>2. Data exploration</v>
      </c>
    </row>
    <row r="22" spans="1:11">
      <c r="A22" t="s">
        <v>55</v>
      </c>
      <c r="B22" t="s">
        <v>56</v>
      </c>
      <c r="K22" t="str" cm="1">
        <f t="array" ref="K22">INDEX(Tbl_Translations[[#This Row],[Language 1]:[Language 10]],IFERROR(MATCH(Introduction!$C$22,Tbl_Langauges[Language],0),1))</f>
        <v>3. What is a table</v>
      </c>
    </row>
    <row r="23" spans="1:11">
      <c r="A23" t="s">
        <v>57</v>
      </c>
      <c r="B23" t="s">
        <v>58</v>
      </c>
      <c r="K23" t="str" cm="1">
        <f t="array" ref="K23">INDEX(Tbl_Translations[[#This Row],[Language 1]:[Language 10]],IFERROR(MATCH(Introduction!$C$22,Tbl_Langauges[Language],0),1))</f>
        <v>4. Table exploration</v>
      </c>
    </row>
    <row r="24" spans="1:11">
      <c r="A24" t="s">
        <v>59</v>
      </c>
      <c r="B24" t="s">
        <v>60</v>
      </c>
      <c r="K24" t="str" cm="1">
        <f t="array" ref="K24">INDEX(Tbl_Translations[[#This Row],[Language 1]:[Language 10]],IFERROR(MATCH(Introduction!$C$22,Tbl_Langauges[Language],0),1))</f>
        <v>5. What is a chart</v>
      </c>
    </row>
    <row r="25" spans="1:11">
      <c r="A25" t="s">
        <v>61</v>
      </c>
      <c r="B25" t="s">
        <v>62</v>
      </c>
      <c r="K25" t="str" cm="1">
        <f t="array" ref="K25">INDEX(Tbl_Translations[[#This Row],[Language 1]:[Language 10]],IFERROR(MATCH(Introduction!$C$22,Tbl_Langauges[Language],0),1))</f>
        <v>6. Chart exploration</v>
      </c>
    </row>
    <row r="26" spans="1:11">
      <c r="A26" t="s">
        <v>63</v>
      </c>
      <c r="B26" t="s">
        <v>64</v>
      </c>
      <c r="K26" t="str" cm="1">
        <f t="array" ref="K26">INDEX(Tbl_Translations[[#This Row],[Language 1]:[Language 10]],IFERROR(MATCH(Introduction!$C$22,Tbl_Langauges[Language],0),1))</f>
        <v>Extensions</v>
      </c>
    </row>
    <row r="27" spans="1:11">
      <c r="A27" t="s">
        <v>65</v>
      </c>
      <c r="B27" t="s">
        <v>66</v>
      </c>
      <c r="K27" t="str" cm="1">
        <f t="array" ref="K27">INDEX(Tbl_Translations[[#This Row],[Language 1]:[Language 10]],IFERROR(MATCH(Introduction!$C$22,Tbl_Langauges[Language],0),1))</f>
        <v>Lesson Plan</v>
      </c>
    </row>
    <row r="28" spans="1:11">
      <c r="A28" t="s">
        <v>67</v>
      </c>
      <c r="B28" t="s">
        <v>68</v>
      </c>
      <c r="K28" t="str" cm="1">
        <f t="array" ref="K28">INDEX(Tbl_Translations[[#This Row],[Language 1]:[Language 10]],IFERROR(MATCH(Introduction!$C$22,Tbl_Langauges[Language],0),1))</f>
        <v>Student Journal</v>
      </c>
    </row>
    <row r="29" spans="1:11">
      <c r="A29" t="s">
        <v>69</v>
      </c>
      <c r="B29" t="s">
        <v>70</v>
      </c>
      <c r="K29" t="str" cm="1">
        <f t="array" ref="K29">INDEX(Tbl_Translations[[#This Row],[Language 1]:[Language 10]],IFERROR(MATCH(Introduction!$C$22,Tbl_Langauges[Language],0),1))</f>
        <v>Contents</v>
      </c>
    </row>
    <row r="30" spans="1:11">
      <c r="A30" t="s">
        <v>71</v>
      </c>
      <c r="B30" t="s">
        <v>72</v>
      </c>
      <c r="K30" t="str" cm="1">
        <f t="array" ref="K30">INDEX(Tbl_Translations[[#This Row],[Language 1]:[Language 10]],IFERROR(MATCH(Introduction!$C$22,Tbl_Langauges[Language],0),1))</f>
        <v>Day of Data</v>
      </c>
    </row>
    <row r="31" spans="1:11">
      <c r="A31" t="s">
        <v>73</v>
      </c>
      <c r="B31" t="s">
        <v>74</v>
      </c>
      <c r="K31" t="str" cm="1">
        <f t="array" ref="K31">INDEX(Tbl_Translations[[#This Row],[Language 1]:[Language 10]],IFERROR(MATCH(Introduction!$C$22,Tbl_Langauges[Language],0),1))</f>
        <v>Table of contents and workbook tutorial</v>
      </c>
    </row>
    <row r="32" spans="1:11">
      <c r="A32" t="s">
        <v>75</v>
      </c>
      <c r="B32" t="s">
        <v>76</v>
      </c>
      <c r="K32" t="str" cm="1">
        <f t="array" ref="K32">INDEX(Tbl_Translations[[#This Row],[Language 1]:[Language 10]],IFERROR(MATCH(Introduction!$C$22,Tbl_Langauges[Language],0),1))</f>
        <v>Activity 1: why we group data</v>
      </c>
    </row>
    <row r="33" spans="1:11">
      <c r="A33" t="s">
        <v>77</v>
      </c>
      <c r="B33" t="s">
        <v>78</v>
      </c>
      <c r="K33" t="str" cm="1">
        <f t="array" ref="K33">INDEX(Tbl_Translations[[#This Row],[Language 1]:[Language 10]],IFERROR(MATCH(Introduction!$C$22,Tbl_Langauges[Language],0),1))</f>
        <v>Activity 2: what type of data is this?</v>
      </c>
    </row>
    <row r="34" spans="1:11">
      <c r="A34" t="s">
        <v>79</v>
      </c>
      <c r="B34" t="s">
        <v>80</v>
      </c>
      <c r="K34" t="str" cm="1">
        <f t="array" ref="K34">INDEX(Tbl_Translations[[#This Row],[Language 1]:[Language 10]],IFERROR(MATCH(Introduction!$C$22,Tbl_Langauges[Language],0),1))</f>
        <v>Activity 3: why we organize data</v>
      </c>
    </row>
    <row r="35" spans="1:11">
      <c r="A35" t="s">
        <v>81</v>
      </c>
      <c r="B35" t="s">
        <v>82</v>
      </c>
      <c r="K35" t="str" cm="1">
        <f t="array" ref="K35">INDEX(Tbl_Translations[[#This Row],[Language 1]:[Language 10]],IFERROR(MATCH(Introduction!$C$22,Tbl_Langauges[Language],0),1))</f>
        <v>Activity 4: discovering with sorting</v>
      </c>
    </row>
    <row r="36" spans="1:11">
      <c r="A36" t="s">
        <v>83</v>
      </c>
      <c r="B36" t="s">
        <v>84</v>
      </c>
      <c r="K36" t="str" cm="1">
        <f t="array" ref="K36">INDEX(Tbl_Translations[[#This Row],[Language 1]:[Language 10]],IFERROR(MATCH(Introduction!$C$22,Tbl_Langauges[Language],0),1))</f>
        <v>Activity 5: why we visualize data</v>
      </c>
    </row>
    <row r="37" spans="1:11">
      <c r="A37" t="s">
        <v>85</v>
      </c>
      <c r="B37" t="s">
        <v>86</v>
      </c>
      <c r="K37" t="str" cm="1">
        <f t="array" ref="K37">INDEX(Tbl_Translations[[#This Row],[Language 1]:[Language 10]],IFERROR(MATCH(Introduction!$C$22,Tbl_Langauges[Language],0),1))</f>
        <v>Activity 6: why we create charts</v>
      </c>
    </row>
    <row r="38" spans="1:11">
      <c r="A38" t="s">
        <v>87</v>
      </c>
      <c r="B38" t="s">
        <v>88</v>
      </c>
      <c r="K38" t="str" cm="1">
        <f t="array" ref="K38">INDEX(Tbl_Translations[[#This Row],[Language 1]:[Language 10]],IFERROR(MATCH(Introduction!$C$22,Tbl_Langauges[Language],0),1))</f>
        <v>Club for the Future "Send a postcard to space"</v>
      </c>
    </row>
    <row r="39" spans="1:11">
      <c r="A39" t="s">
        <v>89</v>
      </c>
      <c r="B39" t="s">
        <v>90</v>
      </c>
      <c r="K39" t="str" cm="1">
        <f t="array" ref="K39">INDEX(Tbl_Translations[[#This Row],[Language 1]:[Language 10]],IFERROR(MATCH(Introduction!$C$22,Tbl_Langauges[Language],0),1))</f>
        <v>Lesson plan and standards</v>
      </c>
    </row>
    <row r="40" spans="1:11">
      <c r="A40" t="s">
        <v>91</v>
      </c>
      <c r="B40" t="s">
        <v>92</v>
      </c>
      <c r="K40" t="str" cm="1">
        <f t="array" ref="K40">INDEX(Tbl_Translations[[#This Row],[Language 1]:[Language 10]],IFERROR(MATCH(Introduction!$C$22,Tbl_Langauges[Language],0),1))</f>
        <v>Student journal for recording knowledge</v>
      </c>
    </row>
    <row r="41" spans="1:11">
      <c r="A41" t="s">
        <v>93</v>
      </c>
      <c r="B41" t="s">
        <v>94</v>
      </c>
      <c r="K41" t="str" cm="1">
        <f t="array" ref="K41">INDEX(Tbl_Translations[[#This Row],[Language 1]:[Language 10]],IFERROR(MATCH(Introduction!$C$22,Tbl_Langauges[Language],0),1))</f>
        <v>Using this workbook</v>
      </c>
    </row>
    <row r="42" spans="1:11">
      <c r="A42" t="s">
        <v>95</v>
      </c>
      <c r="B42" t="s">
        <v>38</v>
      </c>
      <c r="K42" t="str" cm="1">
        <f t="array" ref="K42">INDEX(Tbl_Translations[[#This Row],[Language 1]:[Language 10]],IFERROR(MATCH(Introduction!$C$22,Tbl_Langauges[Language],0),1))</f>
        <v xml:space="preserve">Activities in this lesson can be found by going through the numbered blue tabs. Successful completion of each activity will earn you your Space Data Badge! </v>
      </c>
    </row>
    <row r="43" spans="1:11">
      <c r="A43" t="s">
        <v>96</v>
      </c>
      <c r="B43" t="s">
        <v>97</v>
      </c>
      <c r="K43" t="str" cm="1">
        <f t="array" ref="K43">INDEX(Tbl_Translations[[#This Row],[Language 1]:[Language 10]],IFERROR(MATCH(Introduction!$C$22,Tbl_Langauges[Language],0),1))</f>
        <v>Through these activities you will find blue bordered boxes like this. Use these to make selections to move through your activities.</v>
      </c>
    </row>
    <row r="44" spans="1:11">
      <c r="A44" t="s">
        <v>98</v>
      </c>
      <c r="B44" t="s">
        <v>99</v>
      </c>
      <c r="K44" t="str" cm="1">
        <f t="array" ref="K44">INDEX(Tbl_Translations[[#This Row],[Language 1]:[Language 10]],IFERROR(MATCH(Introduction!$C$22,Tbl_Langauges[Language],0),1))</f>
        <v>Ignore the "Unsaved Changes" warning if it appears.</v>
      </c>
    </row>
    <row r="45" spans="1:11">
      <c r="A45" t="s">
        <v>100</v>
      </c>
      <c r="B45" t="s">
        <v>101</v>
      </c>
      <c r="K45" t="str" cm="1">
        <f t="array" ref="K45">INDEX(Tbl_Translations[[#This Row],[Language 1]:[Language 10]],IFERROR(MATCH(Introduction!$C$22,Tbl_Langauges[Language],0),1))</f>
        <v>When you complete activities, the Next button with change color. Select it to move on!</v>
      </c>
    </row>
    <row r="46" spans="1:11">
      <c r="A46" t="s">
        <v>102</v>
      </c>
      <c r="B46" t="s">
        <v>103</v>
      </c>
      <c r="K46" t="str" cm="1">
        <f t="array" ref="K46">INDEX(Tbl_Translations[[#This Row],[Language 1]:[Language 10]],IFERROR(MATCH(Introduction!$C$22,Tbl_Langauges[Language],0),1))</f>
        <v>Types of data</v>
      </c>
    </row>
    <row r="47" spans="1:11">
      <c r="A47" t="s">
        <v>104</v>
      </c>
      <c r="B47" t="s">
        <v>105</v>
      </c>
      <c r="K47" t="str" cm="1">
        <f t="array" ref="K47">INDEX(Tbl_Translations[[#This Row],[Language 1]:[Language 10]],IFERROR(MATCH(Introduction!$C$22,Tbl_Langauges[Language],0),1))</f>
        <v>Data can be images</v>
      </c>
    </row>
    <row r="48" spans="1:11">
      <c r="A48" t="s">
        <v>106</v>
      </c>
      <c r="B48" t="s">
        <v>107</v>
      </c>
      <c r="K48" t="str" cm="1">
        <f t="array" ref="K48">INDEX(Tbl_Translations[[#This Row],[Language 1]:[Language 10]],IFERROR(MATCH(Introduction!$C$22,Tbl_Langauges[Language],0),1))</f>
        <v>Data can be text</v>
      </c>
    </row>
    <row r="49" spans="1:11">
      <c r="A49" t="s">
        <v>108</v>
      </c>
      <c r="B49" t="s">
        <v>109</v>
      </c>
      <c r="K49" t="str" cm="1">
        <f t="array" ref="K49">INDEX(Tbl_Translations[[#This Row],[Language 1]:[Language 10]],IFERROR(MATCH(Introduction!$C$22,Tbl_Langauges[Language],0),1))</f>
        <v>Data can be numbers</v>
      </c>
    </row>
    <row r="50" spans="1:11">
      <c r="A50" t="s">
        <v>110</v>
      </c>
      <c r="B50" t="s">
        <v>111</v>
      </c>
      <c r="K50" t="str" cm="1">
        <f t="array" ref="K50">INDEX(Tbl_Translations[[#This Row],[Language 1]:[Language 10]],IFERROR(MATCH(Introduction!$C$22,Tbl_Langauges[Language],0),1))</f>
        <v>Data can be grouped</v>
      </c>
    </row>
    <row r="51" spans="1:11">
      <c r="A51" t="s">
        <v>112</v>
      </c>
      <c r="B51" t="s">
        <v>113</v>
      </c>
      <c r="K51" t="str" cm="1">
        <f t="array" ref="K51">INDEX(Tbl_Translations[[#This Row],[Language 1]:[Language 10]],IFERROR(MATCH(Introduction!$C$22,Tbl_Langauges[Language],0),1))</f>
        <v>There are many different types of data that we interpret in our everyday lives.</v>
      </c>
    </row>
    <row r="52" spans="1:11">
      <c r="A52" t="s">
        <v>114</v>
      </c>
      <c r="B52" t="s">
        <v>115</v>
      </c>
      <c r="K52" t="str" cm="1">
        <f t="array" ref="K52">INDEX(Tbl_Translations[[#This Row],[Language 1]:[Language 10]],IFERROR(MATCH(Introduction!$C$22,Tbl_Langauges[Language],0),1))</f>
        <v>Images allow us to better understand something by looking at its shape, size, and color!
What can YOU learn from looking at the image of the Space Shuttle?</v>
      </c>
    </row>
    <row r="53" spans="1:11">
      <c r="A53" t="s">
        <v>116</v>
      </c>
      <c r="B53" t="s">
        <v>117</v>
      </c>
      <c r="K53" t="str" cm="1">
        <f t="array" ref="K53">INDEX(Tbl_Translations[[#This Row],[Language 1]:[Language 10]],IFERROR(MATCH(Introduction!$C$22,Tbl_Langauges[Language],0),1))</f>
        <v>Words can be data too! They can describe or provide meaning to information.
What text data was most interesting to YOU?</v>
      </c>
    </row>
    <row r="54" spans="1:11">
      <c r="A54" t="s">
        <v>118</v>
      </c>
      <c r="B54" t="s">
        <v>119</v>
      </c>
      <c r="K54" t="str" cm="1">
        <f t="array" ref="K54">INDEX(Tbl_Translations[[#This Row],[Language 1]:[Language 10]],IFERROR(MATCH(Introduction!$C$22,Tbl_Langauges[Language],0),1))</f>
        <v>Numbers are also data! Numbers allow us to compare different facts that are measured.</v>
      </c>
    </row>
    <row r="55" spans="1:11">
      <c r="A55" t="s">
        <v>120</v>
      </c>
      <c r="B55" t="s">
        <v>121</v>
      </c>
      <c r="K55" t="str" cm="1">
        <f t="array" ref="K55">INDEX(Tbl_Translations[[#This Row],[Language 1]:[Language 10]],IFERROR(MATCH(Introduction!$C$22,Tbl_Langauges[Language],0),1))</f>
        <v>Grouping data can make it easier to understand and compare. 
Now that you understand data better, share your knowledge on the next page to start earning a badge!</v>
      </c>
    </row>
    <row r="56" spans="1:11">
      <c r="A56" t="s">
        <v>122</v>
      </c>
      <c r="B56" t="s">
        <v>123</v>
      </c>
      <c r="K56" t="str" cm="1">
        <f t="array" ref="K56">INDEX(Tbl_Translations[[#This Row],[Language 1]:[Language 10]],IFERROR(MATCH(Introduction!$C$22,Tbl_Langauges[Language],0),1))</f>
        <v>These can include images we see, words we read, and numbers we use!</v>
      </c>
    </row>
    <row r="57" spans="1:11">
      <c r="A57" t="s">
        <v>124</v>
      </c>
      <c r="B57" t="s">
        <v>125</v>
      </c>
      <c r="K57" t="str" cm="1">
        <f t="array" ref="K57">INDEX(Tbl_Translations[[#This Row],[Language 1]:[Language 10]],IFERROR(MATCH(Introduction!$C$22,Tbl_Langauges[Language],0),1))</f>
        <v>What text data is most interesting to you?</v>
      </c>
    </row>
    <row r="58" spans="1:11">
      <c r="A58" t="s">
        <v>126</v>
      </c>
      <c r="B58" t="s">
        <v>127</v>
      </c>
      <c r="K58" t="str" cm="1">
        <f t="array" ref="K58">INDEX(Tbl_Translations[[#This Row],[Language 1]:[Language 10]],IFERROR(MATCH(Introduction!$C$22,Tbl_Langauges[Language],0),1))</f>
        <v>Look at the number data that is highlighted, what could these numbers be measuring about rockets?</v>
      </c>
    </row>
    <row r="59" spans="1:11">
      <c r="A59" t="s">
        <v>128</v>
      </c>
      <c r="B59" t="s">
        <v>129</v>
      </c>
      <c r="K59" t="str" cm="1">
        <f t="array" ref="K59">INDEX(Tbl_Translations[[#This Row],[Language 1]:[Language 10]],IFERROR(MATCH(Introduction!$C$22,Tbl_Langauges[Language],0),1))</f>
        <v>Step</v>
      </c>
    </row>
    <row r="60" spans="1:11">
      <c r="A60" t="s">
        <v>130</v>
      </c>
      <c r="B60" t="s">
        <v>131</v>
      </c>
      <c r="K60" t="str" cm="1">
        <f t="array" ref="K60">INDEX(Tbl_Translations[[#This Row],[Language 1]:[Language 10]],IFERROR(MATCH(Introduction!$C$22,Tbl_Langauges[Language],0),1))</f>
        <v>Text3</v>
      </c>
    </row>
    <row r="61" spans="1:11">
      <c r="A61" t="s">
        <v>132</v>
      </c>
      <c r="B61" t="s">
        <v>133</v>
      </c>
      <c r="K61" t="str" cm="1">
        <f t="array" ref="K61">INDEX(Tbl_Translations[[#This Row],[Language 1]:[Language 10]],IFERROR(MATCH(Introduction!$C$22,Tbl_Langauges[Language],0),1))</f>
        <v>Data can be messy</v>
      </c>
    </row>
    <row r="62" spans="1:11">
      <c r="A62" t="s">
        <v>134</v>
      </c>
      <c r="B62" t="s">
        <v>135</v>
      </c>
      <c r="K62" t="str" cm="1">
        <f t="array" ref="K62">INDEX(Tbl_Translations[[#This Row],[Language 1]:[Language 10]],IFERROR(MATCH(Introduction!$C$22,Tbl_Langauges[Language],0),1))</f>
        <v>Data can be organized</v>
      </c>
    </row>
    <row r="63" spans="1:11">
      <c r="A63" t="s">
        <v>136</v>
      </c>
      <c r="B63" t="s">
        <v>137</v>
      </c>
      <c r="K63" t="str" cm="1">
        <f t="array" ref="K63">INDEX(Tbl_Translations[[#This Row],[Language 1]:[Language 10]],IFERROR(MATCH(Introduction!$C$22,Tbl_Langauges[Language],0),1))</f>
        <v>Organizing with columns</v>
      </c>
    </row>
    <row r="64" spans="1:11">
      <c r="A64" t="s">
        <v>138</v>
      </c>
      <c r="B64" t="s">
        <v>139</v>
      </c>
      <c r="K64" t="str" cm="1">
        <f t="array" ref="K64">INDEX(Tbl_Translations[[#This Row],[Language 1]:[Language 10]],IFERROR(MATCH(Introduction!$C$22,Tbl_Langauges[Language],0),1))</f>
        <v>Organizing with rows</v>
      </c>
    </row>
    <row r="65" spans="1:11">
      <c r="A65" t="s">
        <v>140</v>
      </c>
      <c r="B65" t="s">
        <v>141</v>
      </c>
      <c r="K65" t="str" cm="1">
        <f t="array" ref="K65">INDEX(Tbl_Translations[[#This Row],[Language 1]:[Language 10]],IFERROR(MATCH(Introduction!$C$22,Tbl_Langauges[Language],0),1))</f>
        <v>Organizing in a table</v>
      </c>
    </row>
    <row r="66" spans="1:11">
      <c r="A66" t="s">
        <v>142</v>
      </c>
      <c r="B66" t="s">
        <v>143</v>
      </c>
      <c r="K66" t="str" cm="1">
        <f t="array" ref="K66">INDEX(Tbl_Translations[[#This Row],[Language 1]:[Language 10]],IFERROR(MATCH(Introduction!$C$22,Tbl_Langauges[Language],0),1))</f>
        <v>Even with our data now grouped by type, it is still difficult to get much of the information we want quickly. To get the information we need easier,  we will now start to arrange our data into a TABLE.</v>
      </c>
    </row>
    <row r="67" spans="1:11">
      <c r="A67" t="s">
        <v>144</v>
      </c>
      <c r="B67" t="s">
        <v>145</v>
      </c>
      <c r="K67" t="str" cm="1">
        <f t="array" ref="K67">INDEX(Tbl_Translations[[#This Row],[Language 1]:[Language 10]],IFERROR(MATCH(Introduction!$C$22,Tbl_Langauges[Language],0),1))</f>
        <v>Using Excel, you can arrange your data in a way that makes getting useful information fast.   Spreadsheets are digital tables that make organizing data a breeze!
Can you think of another way to group this data?</v>
      </c>
    </row>
    <row r="68" spans="1:11">
      <c r="A68" t="s">
        <v>146</v>
      </c>
      <c r="B68" t="s">
        <v>147</v>
      </c>
      <c r="K68" t="str" cm="1">
        <f t="array" ref="K68">INDEX(Tbl_Translations[[#This Row],[Language 1]:[Language 10]],IFERROR(MATCH(Introduction!$C$22,Tbl_Langauges[Language],0),1))</f>
        <v>You can organize each data type by placing it in COLUMNS.  At the top of each column you can add a descriptor word or title called a COLUMN HEADER. Can you think of other titles that would work for these columns?</v>
      </c>
    </row>
    <row r="69" spans="1:11">
      <c r="A69" t="s">
        <v>148</v>
      </c>
      <c r="B69" t="s">
        <v>149</v>
      </c>
      <c r="K69" t="str" cm="1">
        <f t="array" ref="K69">INDEX(Tbl_Translations[[#This Row],[Language 1]:[Language 10]],IFERROR(MATCH(Introduction!$C$22,Tbl_Langauges[Language],0),1))</f>
        <v>ROWS have data that is organized left and right or horizontally.  They allow you to arrange information about a specific topic using different types of data. Here, the highlighted row shows different types of data for the Soyuz-U rocket.</v>
      </c>
    </row>
    <row r="70" spans="1:11">
      <c r="A70" t="s">
        <v>150</v>
      </c>
      <c r="B70" t="s">
        <v>151</v>
      </c>
      <c r="K70" t="str" cm="1">
        <f t="array" ref="K70">INDEX(Tbl_Translations[[#This Row],[Language 1]:[Language 10]],IFERROR(MATCH(Introduction!$C$22,Tbl_Langauges[Language],0),1))</f>
        <v>When the table is complete, it looks like this. COLUMNS and ROWS arrange data in an easy-to-read format which makes getting information easier. Can you locate the text data for the Space Shuttle?</v>
      </c>
    </row>
    <row r="71" spans="1:11">
      <c r="A71" t="s">
        <v>152</v>
      </c>
      <c r="B71" t="s">
        <v>153</v>
      </c>
      <c r="K71" t="str" cm="1">
        <f t="array" ref="K71">INDEX(Tbl_Translations[[#This Row],[Language 1]:[Language 10]],IFERROR(MATCH(Introduction!$C$22,Tbl_Langauges[Language],0),1))</f>
        <v>Sorting in a table</v>
      </c>
    </row>
    <row r="72" spans="1:11">
      <c r="A72" t="s">
        <v>154</v>
      </c>
      <c r="B72" t="s">
        <v>155</v>
      </c>
      <c r="K72" t="str" cm="1">
        <f t="array" ref="K72">INDEX(Tbl_Translations[[#This Row],[Language 1]:[Language 10]],IFERROR(MATCH(Introduction!$C$22,Tbl_Langauges[Language],0),1))</f>
        <v>How do you SORT?</v>
      </c>
    </row>
    <row r="73" spans="1:11">
      <c r="A73" t="s">
        <v>156</v>
      </c>
      <c r="B73" t="s">
        <v>157</v>
      </c>
      <c r="K73" t="str" cm="1">
        <f t="array" ref="K73">INDEX(Tbl_Translations[[#This Row],[Language 1]:[Language 10]],IFERROR(MATCH(Introduction!$C$22,Tbl_Langauges[Language],0),1))</f>
        <v>Sorting Ascending</v>
      </c>
    </row>
    <row r="74" spans="1:11">
      <c r="A74" t="s">
        <v>158</v>
      </c>
      <c r="B74" t="s">
        <v>159</v>
      </c>
      <c r="K74" t="str" cm="1">
        <f t="array" ref="K74">INDEX(Tbl_Translations[[#This Row],[Language 1]:[Language 10]],IFERROR(MATCH(Introduction!$C$22,Tbl_Langauges[Language],0),1))</f>
        <v>Sorting Descending</v>
      </c>
    </row>
    <row r="75" spans="1:11">
      <c r="A75" t="s">
        <v>160</v>
      </c>
      <c r="B75" t="s">
        <v>161</v>
      </c>
      <c r="K75" t="str" cm="1">
        <f t="array" ref="K75">INDEX(Tbl_Translations[[#This Row],[Language 1]:[Language 10]],IFERROR(MATCH(Introduction!$C$22,Tbl_Langauges[Language],0),1))</f>
        <v>Having data put into a table not only organizes, but also allows Excel to sort for you. Sorting allows you to arrange column data in a different order that you choose.</v>
      </c>
    </row>
    <row r="76" spans="1:11">
      <c r="A76" t="s">
        <v>162</v>
      </c>
      <c r="B76" t="s">
        <v>163</v>
      </c>
      <c r="K76" t="str" cm="1">
        <f t="array" ref="K76">INDEX(Tbl_Translations[[#This Row],[Language 1]:[Language 10]],IFERROR(MATCH(Introduction!$C$22,Tbl_Langauges[Language],0),1))</f>
        <v xml:space="preserve">You can SORT by selecting the filter button (small down arrow) located in the column header. 
This brings up a menu, which allows you to choose how you want your data organized. </v>
      </c>
    </row>
    <row r="77" spans="1:11">
      <c r="A77" t="s">
        <v>164</v>
      </c>
      <c r="B77" t="s">
        <v>165</v>
      </c>
      <c r="K77" t="str" cm="1">
        <f t="array" ref="K77">INDEX(Tbl_Translations[[#This Row],[Language 1]:[Language 10]],IFERROR(MATCH(Introduction!$C$22,Tbl_Langauges[Language],0),1))</f>
        <v>You can sort both numbers and text by their value. 
In the SORT MENU, selecting 'Sort Ascending' arranges the data with smallest at the top, and largest at the bottom.</v>
      </c>
    </row>
    <row r="78" spans="1:11">
      <c r="A78" t="s">
        <v>166</v>
      </c>
      <c r="B78" t="s">
        <v>167</v>
      </c>
      <c r="K78" t="str" cm="1">
        <f t="array" ref="K78">INDEX(Tbl_Translations[[#This Row],[Language 1]:[Language 10]],IFERROR(MATCH(Introduction!$C$22,Tbl_Langauges[Language],0),1))</f>
        <v>You can also sort in DESCENDING order in a similar manner.
In the SORT MENU, selecting 'Sort Descending' arranges the data from largest to smallest.</v>
      </c>
    </row>
    <row r="79" spans="1:11">
      <c r="A79" t="s">
        <v>1</v>
      </c>
      <c r="B79" t="s">
        <v>168</v>
      </c>
      <c r="K79" t="str" cm="1">
        <f t="array" ref="K79">INDEX(Tbl_Translations[[#This Row],[Language 1]:[Language 10]],IFERROR(MATCH(Introduction!$C$22,Tbl_Langauges[Language],0),1))</f>
        <v>Choose me!</v>
      </c>
    </row>
    <row r="80" spans="1:11">
      <c r="A80" t="s">
        <v>169</v>
      </c>
      <c r="B80" t="s">
        <v>170</v>
      </c>
      <c r="K80" t="str" cm="1">
        <f t="array" ref="K80">INDEX(Tbl_Translations[[#This Row],[Language 1]:[Language 10]],IFERROR(MATCH(Introduction!$C$22,Tbl_Langauges[Language],0),1))</f>
        <v>Switch to me!</v>
      </c>
    </row>
    <row r="81" spans="1:11">
      <c r="A81" t="s">
        <v>171</v>
      </c>
      <c r="B81" t="s">
        <v>172</v>
      </c>
      <c r="K81" t="str" cm="1">
        <f t="array" ref="K81">INDEX(Tbl_Translations[[#This Row],[Language 1]:[Language 10]],IFERROR(MATCH(Introduction!$C$22,Tbl_Langauges[Language],0),1))</f>
        <v>Select the box that says "Choose me!" and the gray "dropdown" box. This brings up a menu that shows what else you can select. Choose "Switch to me!".</v>
      </c>
    </row>
    <row r="82" spans="1:11">
      <c r="A82" t="s">
        <v>173</v>
      </c>
      <c r="B82" t="s">
        <v>174</v>
      </c>
      <c r="K82" t="str" cm="1">
        <f t="array" ref="K82">INDEX(Tbl_Translations[[#This Row],[Language 1]:[Language 10]],IFERROR(MATCH(Introduction!$C$22,Tbl_Langauges[Language],0),1))</f>
        <v>Great job! Now you're ready to begin the activities. Throughout this workbook, you will have questions to check your understanding. Answer these, and you can earn a Space Data Badge!</v>
      </c>
    </row>
    <row r="83" spans="1:11">
      <c r="A83" t="s">
        <v>175</v>
      </c>
      <c r="B83" t="s">
        <v>176</v>
      </c>
      <c r="K83" t="str" cm="1">
        <f t="array" ref="K83">INDEX(Tbl_Translations[[#This Row],[Language 1]:[Language 10]],IFERROR(MATCH(Introduction!$C$22,Tbl_Langauges[Language],0),1))</f>
        <v>Dropdown</v>
      </c>
    </row>
    <row r="84" spans="1:11">
      <c r="A84" t="s">
        <v>177</v>
      </c>
      <c r="B84" t="s">
        <v>178</v>
      </c>
      <c r="K84" t="str" cm="1">
        <f t="array" ref="K84">INDEX(Tbl_Translations[[#This Row],[Language 1]:[Language 10]],IFERROR(MATCH(Introduction!$C$22,Tbl_Langauges[Language],0),1))</f>
        <v>Name (unit)</v>
      </c>
    </row>
    <row r="85" spans="1:11">
      <c r="A85" t="s">
        <v>179</v>
      </c>
      <c r="B85" t="s">
        <v>180</v>
      </c>
      <c r="K85" t="str" cm="1">
        <f t="array" ref="K85">INDEX(Tbl_Translations[[#This Row],[Language 1]:[Language 10]],IFERROR(MATCH(Introduction!$C$22,Tbl_Langauges[Language],0),1))</f>
        <v>Unit</v>
      </c>
    </row>
    <row r="86" spans="1:11">
      <c r="A86" t="s">
        <v>181</v>
      </c>
      <c r="B86" t="s">
        <v>182</v>
      </c>
      <c r="K86" t="str" cm="1">
        <f t="array" ref="K86">INDEX(Tbl_Translations[[#This Row],[Language 1]:[Language 10]],IFERROR(MATCH(Introduction!$C$22,Tbl_Langauges[Language],0),1))</f>
        <v>Object</v>
      </c>
    </row>
    <row r="87" spans="1:11">
      <c r="A87" t="s">
        <v>183</v>
      </c>
      <c r="B87" t="s">
        <v>184</v>
      </c>
      <c r="K87" t="str" cm="1">
        <f t="array" ref="K87">INDEX(Tbl_Translations[[#This Row],[Language 1]:[Language 10]],IFERROR(MATCH(Introduction!$C$22,Tbl_Langauges[Language],0),1))</f>
        <v>Value</v>
      </c>
    </row>
    <row r="88" spans="1:11">
      <c r="A88" t="s">
        <v>185</v>
      </c>
      <c r="B88" t="s">
        <v>186</v>
      </c>
      <c r="K88" t="str" cm="1">
        <f t="array" ref="K88">INDEX(Tbl_Translations[[#This Row],[Language 1]:[Language 10]],IFERROR(MATCH(Introduction!$C$22,Tbl_Langauges[Language],0),1))</f>
        <v>Number of launches</v>
      </c>
    </row>
    <row r="89" spans="1:11">
      <c r="A89" t="s">
        <v>187</v>
      </c>
      <c r="B89" t="s">
        <v>188</v>
      </c>
      <c r="K89" t="str" cm="1">
        <f t="array" ref="K89">INDEX(Tbl_Translations[[#This Row],[Language 1]:[Language 10]],IFERROR(MATCH(Introduction!$C$22,Tbl_Langauges[Language],0),1))</f>
        <v>Rocket height</v>
      </c>
    </row>
    <row r="90" spans="1:11">
      <c r="A90" t="s">
        <v>189</v>
      </c>
      <c r="B90" t="s">
        <v>190</v>
      </c>
      <c r="K90" t="str" cm="1">
        <f t="array" ref="K90">INDEX(Tbl_Translations[[#This Row],[Language 1]:[Language 10]],IFERROR(MATCH(Introduction!$C$22,Tbl_Langauges[Language],0),1))</f>
        <v>Rocket mass</v>
      </c>
    </row>
    <row r="91" spans="1:11">
      <c r="A91" t="s">
        <v>191</v>
      </c>
      <c r="B91" t="s">
        <v>192</v>
      </c>
      <c r="K91" t="str" cm="1">
        <f t="array" ref="K91">INDEX(Tbl_Translations[[#This Row],[Language 1]:[Language 10]],IFERROR(MATCH(Introduction!$C$22,Tbl_Langauges[Language],0),1))</f>
        <v>Launches (#)</v>
      </c>
    </row>
    <row r="92" spans="1:11">
      <c r="A92" t="s">
        <v>193</v>
      </c>
      <c r="B92" t="s">
        <v>194</v>
      </c>
      <c r="K92" t="str" cm="1">
        <f t="array" ref="K92">INDEX(Tbl_Translations[[#This Row],[Language 1]:[Language 10]],IFERROR(MATCH(Introduction!$C$22,Tbl_Langauges[Language],0),1))</f>
        <v>Height (m)</v>
      </c>
    </row>
    <row r="93" spans="1:11">
      <c r="A93" t="s">
        <v>195</v>
      </c>
      <c r="B93" t="s">
        <v>196</v>
      </c>
      <c r="K93" t="str" cm="1">
        <f t="array" ref="K93">INDEX(Tbl_Translations[[#This Row],[Language 1]:[Language 10]],IFERROR(MATCH(Introduction!$C$22,Tbl_Langauges[Language],0),1))</f>
        <v>Mass (kg)</v>
      </c>
    </row>
    <row r="94" spans="1:11">
      <c r="A94" t="s">
        <v>197</v>
      </c>
      <c r="B94" t="s">
        <v>198</v>
      </c>
      <c r="K94" t="str" cm="1">
        <f t="array" ref="K94">INDEX(Tbl_Translations[[#This Row],[Language 1]:[Language 10]],IFERROR(MATCH(Introduction!$C$22,Tbl_Langauges[Language],0),1))</f>
        <v>Giraffe
(comparison)</v>
      </c>
    </row>
    <row r="95" spans="1:11">
      <c r="A95" t="s">
        <v>199</v>
      </c>
      <c r="B95" t="s">
        <v>200</v>
      </c>
      <c r="K95" t="str" cm="1">
        <f t="array" ref="K95">INDEX(Tbl_Translations[[#This Row],[Language 1]:[Language 10]],IFERROR(MATCH(Introduction!$C$22,Tbl_Langauges[Language],0),1))</f>
        <v>Blue Whale
(comparison)</v>
      </c>
    </row>
    <row r="96" spans="1:11">
      <c r="A96" t="s">
        <v>201</v>
      </c>
      <c r="B96" t="s">
        <v>202</v>
      </c>
      <c r="K96" t="str" cm="1">
        <f t="array" ref="K96">INDEX(Tbl_Translations[[#This Row],[Language 1]:[Language 10]],IFERROR(MATCH(Introduction!$C$22,Tbl_Langauges[Language],0),1))</f>
        <v>What are charts?</v>
      </c>
    </row>
    <row r="97" spans="1:11">
      <c r="A97" t="s">
        <v>203</v>
      </c>
      <c r="B97" t="s">
        <v>204</v>
      </c>
      <c r="K97" t="str" cm="1">
        <f t="array" ref="K97">INDEX(Tbl_Translations[[#This Row],[Language 1]:[Language 10]],IFERROR(MATCH(Introduction!$C$22,Tbl_Langauges[Language],0),1))</f>
        <v>What is a plot area?</v>
      </c>
    </row>
    <row r="98" spans="1:11">
      <c r="A98" t="s">
        <v>205</v>
      </c>
      <c r="B98" t="s">
        <v>206</v>
      </c>
      <c r="K98" t="str" cm="1">
        <f t="array" ref="K98">INDEX(Tbl_Translations[[#This Row],[Language 1]:[Language 10]],IFERROR(MATCH(Introduction!$C$22,Tbl_Langauges[Language],0),1))</f>
        <v>What is a chart title?</v>
      </c>
    </row>
    <row r="99" spans="1:11">
      <c r="A99" t="s">
        <v>207</v>
      </c>
      <c r="B99" t="s">
        <v>208</v>
      </c>
      <c r="K99" t="str" cm="1">
        <f t="array" ref="K99">INDEX(Tbl_Translations[[#This Row],[Language 1]:[Language 10]],IFERROR(MATCH(Introduction!$C$22,Tbl_Langauges[Language],0),1))</f>
        <v>What are axis titles?</v>
      </c>
    </row>
    <row r="100" spans="1:11">
      <c r="A100" t="s">
        <v>209</v>
      </c>
      <c r="B100" t="s">
        <v>210</v>
      </c>
      <c r="K100" t="str" cm="1">
        <f t="array" ref="K100">INDEX(Tbl_Translations[[#This Row],[Language 1]:[Language 10]],IFERROR(MATCH(Introduction!$C$22,Tbl_Langauges[Language],0),1))</f>
        <v>How do you sort data?</v>
      </c>
    </row>
    <row r="101" spans="1:11">
      <c r="A101" t="s">
        <v>211</v>
      </c>
      <c r="B101" t="s">
        <v>212</v>
      </c>
      <c r="K101" t="str" cm="1">
        <f t="array" ref="K101">INDEX(Tbl_Translations[[#This Row],[Language 1]:[Language 10]],IFERROR(MATCH(Introduction!$C$22,Tbl_Langauges[Language],0),1))</f>
        <v>Charts help you visualize your data in a way that can be easier to understand. Here, the chart to the left is a visual version of the table below.</v>
      </c>
    </row>
    <row r="102" spans="1:11">
      <c r="A102" t="s">
        <v>213</v>
      </c>
      <c r="B102" t="s">
        <v>214</v>
      </c>
      <c r="K102" t="str" cm="1">
        <f t="array" ref="K102">INDEX(Tbl_Translations[[#This Row],[Language 1]:[Language 10]],IFERROR(MATCH(Introduction!$C$22,Tbl_Langauges[Language],0),1))</f>
        <v>The plot area in an Excel chart refers to the area of the chart where you find the data being visualized.</v>
      </c>
    </row>
    <row r="103" spans="1:11">
      <c r="A103" t="s">
        <v>215</v>
      </c>
      <c r="B103" t="s">
        <v>216</v>
      </c>
      <c r="K103" t="str" cm="1">
        <f t="array" ref="K103">INDEX(Tbl_Translations[[#This Row],[Language 1]:[Language 10]],IFERROR(MATCH(Introduction!$C$22,Tbl_Langauges[Language],0),1))</f>
        <v xml:space="preserve">A chart title describes the purpose of the chart. It is placed in the center at the top of the chart. </v>
      </c>
    </row>
    <row r="104" spans="1:11">
      <c r="A104" t="s">
        <v>217</v>
      </c>
      <c r="B104" t="s">
        <v>218</v>
      </c>
      <c r="K104" t="str" cm="1">
        <f t="array" ref="K104">INDEX(Tbl_Translations[[#This Row],[Language 1]:[Language 10]],IFERROR(MATCH(Introduction!$C$22,Tbl_Langauges[Language],0),1))</f>
        <v>Most charts have a vertical and a horizontal axis. On this chart, the vertical (or "y") axis shows the data measured, and the horizontal (or "x") axis shows the category.</v>
      </c>
    </row>
    <row r="105" spans="1:11">
      <c r="A105" t="s">
        <v>219</v>
      </c>
      <c r="B105" t="s">
        <v>220</v>
      </c>
      <c r="K105" t="str" cm="1">
        <f t="array" ref="K105">INDEX(Tbl_Translations[[#This Row],[Language 1]:[Language 10]],IFERROR(MATCH(Introduction!$C$22,Tbl_Langauges[Language],0),1))</f>
        <v>Sorting helps you organize and understand your data quickly. You can sort your chart by sorting your table! On the table below, select the gray square to the right of "Height" and sort in ASCENDING order.</v>
      </c>
    </row>
    <row r="106" spans="1:11">
      <c r="A106" t="s">
        <v>221</v>
      </c>
      <c r="B106" t="s">
        <v>222</v>
      </c>
      <c r="K106" t="str" cm="1">
        <f t="array" ref="K106">INDEX(Tbl_Translations[[#This Row],[Language 1]:[Language 10]],IFERROR(MATCH(Introduction!$C$22,Tbl_Langauges[Language],0),1))</f>
        <v>Falcon 9 FT</v>
      </c>
    </row>
    <row r="107" spans="1:11">
      <c r="A107" t="s">
        <v>223</v>
      </c>
      <c r="B107" t="s">
        <v>224</v>
      </c>
      <c r="K107" t="str" cm="1">
        <f t="array" ref="K107">INDEX(Tbl_Translations[[#This Row],[Language 1]:[Language 10]],IFERROR(MATCH(Introduction!$C$22,Tbl_Langauges[Language],0),1))</f>
        <v>Long March 2F</v>
      </c>
    </row>
    <row r="108" spans="1:11">
      <c r="A108" t="s">
        <v>225</v>
      </c>
      <c r="B108" t="s">
        <v>226</v>
      </c>
      <c r="K108" t="str" cm="1">
        <f t="array" ref="K108">INDEX(Tbl_Translations[[#This Row],[Language 1]:[Language 10]],IFERROR(MATCH(Introduction!$C$22,Tbl_Langauges[Language],0),1))</f>
        <v>Saturn V</v>
      </c>
    </row>
    <row r="109" spans="1:11">
      <c r="A109" t="s">
        <v>227</v>
      </c>
      <c r="B109" t="s">
        <v>227</v>
      </c>
      <c r="K109" t="str" cm="1">
        <f t="array" ref="K109">INDEX(Tbl_Translations[[#This Row],[Language 1]:[Language 10]],IFERROR(MATCH(Introduction!$C$22,Tbl_Langauges[Language],0),1))</f>
        <v>Soyuz-U</v>
      </c>
    </row>
    <row r="110" spans="1:11">
      <c r="A110" t="s">
        <v>228</v>
      </c>
      <c r="B110" t="s">
        <v>229</v>
      </c>
      <c r="K110" t="str" cm="1">
        <f t="array" ref="K110">INDEX(Tbl_Translations[[#This Row],[Language 1]:[Language 10]],IFERROR(MATCH(Introduction!$C$22,Tbl_Langauges[Language],0),1))</f>
        <v>Space Shuttle</v>
      </c>
    </row>
    <row r="111" spans="1:11">
      <c r="A111" t="s">
        <v>230</v>
      </c>
      <c r="B111" t="s">
        <v>230</v>
      </c>
      <c r="K111" t="str" cm="1">
        <f t="array" ref="K111">INDEX(Tbl_Translations[[#This Row],[Language 1]:[Language 10]],IFERROR(MATCH(Introduction!$C$22,Tbl_Langauges[Language],0),1))</f>
        <v>Vostok-K</v>
      </c>
    </row>
    <row r="112" spans="1:11">
      <c r="A112" t="s">
        <v>231</v>
      </c>
      <c r="B112" t="s">
        <v>232</v>
      </c>
      <c r="K112" t="str" cm="1">
        <f t="array" ref="K112">INDEX(Tbl_Translations[[#This Row],[Language 1]:[Language 10]],IFERROR(MATCH(Introduction!$C$22,Tbl_Langauges[Language],0),1))</f>
        <v>Row</v>
      </c>
    </row>
    <row r="113" spans="1:11">
      <c r="A113" t="s">
        <v>233</v>
      </c>
      <c r="B113" t="s">
        <v>234</v>
      </c>
      <c r="K113" t="str" cm="1">
        <f t="array" ref="K113">INDEX(Tbl_Translations[[#This Row],[Language 1]:[Language 10]],IFERROR(MATCH(Introduction!$C$22,Tbl_Langauges[Language],0),1))</f>
        <v>Rocket</v>
      </c>
    </row>
    <row r="114" spans="1:11">
      <c r="A114" t="s">
        <v>235</v>
      </c>
      <c r="B114" t="s">
        <v>236</v>
      </c>
      <c r="K114" t="str" cm="1">
        <f t="array" ref="K114">INDEX(Tbl_Translations[[#This Row],[Language 1]:[Language 10]],IFERROR(MATCH(Introduction!$C$22,Tbl_Langauges[Language],0),1))</f>
        <v>Null</v>
      </c>
    </row>
    <row r="115" spans="1:11">
      <c r="A115" t="s">
        <v>237</v>
      </c>
      <c r="B115" t="s">
        <v>238</v>
      </c>
      <c r="K115" t="str" cm="1">
        <f t="array" ref="K115">INDEX(Tbl_Translations[[#This Row],[Language 1]:[Language 10]],IFERROR(MATCH(Introduction!$C$22,Tbl_Langauges[Language],0),1))</f>
        <v>Country</v>
      </c>
    </row>
    <row r="116" spans="1:11">
      <c r="A116" t="s">
        <v>239</v>
      </c>
      <c r="B116" t="s">
        <v>240</v>
      </c>
      <c r="K116" t="str" cm="1">
        <f t="array" ref="K116">INDEX(Tbl_Translations[[#This Row],[Language 1]:[Language 10]],IFERROR(MATCH(Introduction!$C$22,Tbl_Langauges[Language],0),1))</f>
        <v>Correct Value</v>
      </c>
    </row>
    <row r="117" spans="1:11">
      <c r="A117" t="s">
        <v>241</v>
      </c>
      <c r="B117" t="s">
        <v>242</v>
      </c>
      <c r="K117" t="str" cm="1">
        <f t="array" ref="K117">INDEX(Tbl_Translations[[#This Row],[Language 1]:[Language 10]],IFERROR(MATCH(Introduction!$C$22,Tbl_Langauges[Language],0),1))</f>
        <v>Prompt</v>
      </c>
    </row>
    <row r="118" spans="1:11">
      <c r="A118" t="s">
        <v>243</v>
      </c>
      <c r="B118" t="s">
        <v>244</v>
      </c>
      <c r="K118" t="str" cm="1">
        <f t="array" ref="K118">INDEX(Tbl_Translations[[#This Row],[Language 1]:[Language 10]],IFERROR(MATCH(Introduction!$C$22,Tbl_Langauges[Language],0),1))</f>
        <v>Correct Text</v>
      </c>
    </row>
    <row r="119" spans="1:11">
      <c r="A119" t="s">
        <v>245</v>
      </c>
      <c r="B119" t="s">
        <v>246</v>
      </c>
      <c r="K119" t="str" cm="1">
        <f t="array" ref="K119">INDEX(Tbl_Translations[[#This Row],[Language 1]:[Language 10]],IFERROR(MATCH(Introduction!$C$22,Tbl_Langauges[Language],0),1))</f>
        <v>Incorrect Text</v>
      </c>
    </row>
    <row r="120" spans="1:11">
      <c r="A120" t="s">
        <v>247</v>
      </c>
      <c r="B120" t="s">
        <v>248</v>
      </c>
      <c r="K120" t="str" cm="1">
        <f t="array" ref="K120">INDEX(Tbl_Translations[[#This Row],[Language 1]:[Language 10]],IFERROR(MATCH(Introduction!$C$22,Tbl_Langauges[Language],0),1))</f>
        <v>Shown</v>
      </c>
    </row>
    <row r="121" spans="1:11">
      <c r="A121" t="s">
        <v>249</v>
      </c>
      <c r="B121" t="s">
        <v>249</v>
      </c>
      <c r="K121" t="str" cm="1">
        <f t="array" ref="K121">INDEX(Tbl_Translations[[#This Row],[Language 1]:[Language 10]],IFERROR(MATCH(Introduction!$C$22,Tbl_Langauges[Language],0),1))</f>
        <v>Q#</v>
      </c>
    </row>
    <row r="122" spans="1:11">
      <c r="A122" t="s">
        <v>250</v>
      </c>
      <c r="B122" t="s">
        <v>251</v>
      </c>
      <c r="K122" t="str" cm="1">
        <f t="array" ref="K122">INDEX(Tbl_Translations[[#This Row],[Language 1]:[Language 10]],IFERROR(MATCH(Introduction!$C$22,Tbl_Langauges[Language],0),1))</f>
        <v>Correct</v>
      </c>
    </row>
    <row r="123" spans="1:11">
      <c r="A123" t="s">
        <v>252</v>
      </c>
      <c r="B123" t="s">
        <v>253</v>
      </c>
      <c r="K123" t="str" cm="1">
        <f t="array" ref="K123">INDEX(Tbl_Translations[[#This Row],[Language 1]:[Language 10]],IFERROR(MATCH(Introduction!$C$22,Tbl_Langauges[Language],0),1))</f>
        <v>Incorrect</v>
      </c>
    </row>
    <row r="124" spans="1:11">
      <c r="A124" t="s">
        <v>254</v>
      </c>
      <c r="B124" t="s">
        <v>255</v>
      </c>
      <c r="K124" t="str" cm="1">
        <f t="array" ref="K124">INDEX(Tbl_Translations[[#This Row],[Language 1]:[Language 10]],IFERROR(MATCH(Introduction!$C$22,Tbl_Langauges[Language],0),1))</f>
        <v>Text</v>
      </c>
    </row>
    <row r="125" spans="1:11">
      <c r="A125" t="s">
        <v>13</v>
      </c>
      <c r="B125" t="s">
        <v>256</v>
      </c>
      <c r="K125" t="str" cm="1">
        <f t="array" ref="K125">INDEX(Tbl_Translations[[#This Row],[Language 1]:[Language 10]],IFERROR(MATCH(Introduction!$C$22,Tbl_Langauges[Language],0),1))</f>
        <v>Number</v>
      </c>
    </row>
    <row r="126" spans="1:11">
      <c r="A126" t="s">
        <v>257</v>
      </c>
      <c r="B126" t="s">
        <v>258</v>
      </c>
      <c r="K126" t="str" cm="1">
        <f t="array" ref="K126">INDEX(Tbl_Translations[[#This Row],[Language 1]:[Language 10]],IFERROR(MATCH(Introduction!$C$22,Tbl_Langauges[Language],0),1))</f>
        <v>Image</v>
      </c>
    </row>
    <row r="127" spans="1:11">
      <c r="A127" t="s">
        <v>259</v>
      </c>
      <c r="B127" t="s">
        <v>260</v>
      </c>
      <c r="K127" t="str" cm="1">
        <f t="array" ref="K127">INDEX(Tbl_Translations[[#This Row],[Language 1]:[Language 10]],IFERROR(MATCH(Introduction!$C$22,Tbl_Langauges[Language],0),1))</f>
        <v>Q1.   Is this text, image, or number data?</v>
      </c>
    </row>
    <row r="128" spans="1:11">
      <c r="A128" t="s">
        <v>261</v>
      </c>
      <c r="B128" t="s">
        <v>262</v>
      </c>
      <c r="K128" t="str" cm="1">
        <f t="array" ref="K128">INDEX(Tbl_Translations[[#This Row],[Language 1]:[Language 10]],IFERROR(MATCH(Introduction!$C$22,Tbl_Langauges[Language],0),1))</f>
        <v>Q2.   Is this text, image, or number data?</v>
      </c>
    </row>
    <row r="129" spans="1:11">
      <c r="A129" t="s">
        <v>263</v>
      </c>
      <c r="B129" t="s">
        <v>264</v>
      </c>
      <c r="K129" t="str" cm="1">
        <f t="array" ref="K129">INDEX(Tbl_Translations[[#This Row],[Language 1]:[Language 10]],IFERROR(MATCH(Introduction!$C$22,Tbl_Langauges[Language],0),1))</f>
        <v>Q3.   Is this text, image, or number data?</v>
      </c>
    </row>
    <row r="130" spans="1:11">
      <c r="A130" t="s">
        <v>265</v>
      </c>
      <c r="B130" t="s">
        <v>266</v>
      </c>
      <c r="K130" t="str" cm="1">
        <f t="array" ref="K130">INDEX(Tbl_Translations[[#This Row],[Language 1]:[Language 10]],IFERROR(MATCH(Introduction!$C$22,Tbl_Langauges[Language],0),1))</f>
        <v>Q4.   Is this text, image, or number data?</v>
      </c>
    </row>
    <row r="131" spans="1:11">
      <c r="A131" t="s">
        <v>267</v>
      </c>
      <c r="B131" t="s">
        <v>268</v>
      </c>
      <c r="K131" t="str" cm="1">
        <f t="array" ref="K131">INDEX(Tbl_Translations[[#This Row],[Language 1]:[Language 10]],IFERROR(MATCH(Introduction!$C$22,Tbl_Langauges[Language],0),1))</f>
        <v>Q5.   Is this text, image, or number data?</v>
      </c>
    </row>
    <row r="132" spans="1:11">
      <c r="A132" t="s">
        <v>269</v>
      </c>
      <c r="B132" t="s">
        <v>270</v>
      </c>
      <c r="K132" t="str" cm="1">
        <f t="array" ref="K132">INDEX(Tbl_Translations[[#This Row],[Language 1]:[Language 10]],IFERROR(MATCH(Introduction!$C$22,Tbl_Langauges[Language],0),1))</f>
        <v>Q6.   Is this text, image, or number data?</v>
      </c>
    </row>
    <row r="133" spans="1:11">
      <c r="A133" t="s">
        <v>271</v>
      </c>
      <c r="B133" t="s">
        <v>272</v>
      </c>
      <c r="K133" t="str" cm="1">
        <f t="array" ref="K133">INDEX(Tbl_Translations[[#This Row],[Language 1]:[Language 10]],IFERROR(MATCH(Introduction!$C$22,Tbl_Langauges[Language],0),1))</f>
        <v>Q7.   Sort to find the rocket with the shortest HEIGHT.</v>
      </c>
    </row>
    <row r="134" spans="1:11">
      <c r="A134" t="s">
        <v>273</v>
      </c>
      <c r="B134" t="s">
        <v>274</v>
      </c>
      <c r="K134" t="str" cm="1">
        <f t="array" ref="K134">INDEX(Tbl_Translations[[#This Row],[Language 1]:[Language 10]],IFERROR(MATCH(Introduction!$C$22,Tbl_Langauges[Language],0),1))</f>
        <v>Q8.   Sort to find the rocket with the 2nd most LAUNCHES.</v>
      </c>
    </row>
    <row r="135" spans="1:11">
      <c r="A135" t="s">
        <v>275</v>
      </c>
      <c r="B135" t="s">
        <v>276</v>
      </c>
      <c r="K135" t="str" cm="1">
        <f t="array" ref="K135">INDEX(Tbl_Translations[[#This Row],[Language 1]:[Language 10]],IFERROR(MATCH(Introduction!$C$22,Tbl_Langauges[Language],0),1))</f>
        <v>Q9.   Sort to find the rocket with the 3rd highest MASS.</v>
      </c>
    </row>
    <row r="136" spans="1:11">
      <c r="A136" t="s">
        <v>277</v>
      </c>
      <c r="B136" t="s">
        <v>278</v>
      </c>
      <c r="K136" t="str" cm="1">
        <f t="array" ref="K136">INDEX(Tbl_Translations[[#This Row],[Language 1]:[Language 10]],IFERROR(MATCH(Introduction!$C$22,Tbl_Langauges[Language],0),1))</f>
        <v>Q10.   What is the 3rd tallest rocket?</v>
      </c>
    </row>
    <row r="137" spans="1:11">
      <c r="A137" t="s">
        <v>279</v>
      </c>
      <c r="B137" t="s">
        <v>280</v>
      </c>
      <c r="K137" t="str" cm="1">
        <f t="array" ref="K137">INDEX(Tbl_Translations[[#This Row],[Language 1]:[Language 10]],IFERROR(MATCH(Introduction!$C$22,Tbl_Langauges[Language],0),1))</f>
        <v>Q11.   What rocket has the 2nd lowest mass?</v>
      </c>
    </row>
    <row r="138" spans="1:11">
      <c r="A138" t="s">
        <v>281</v>
      </c>
      <c r="B138" t="s">
        <v>282</v>
      </c>
      <c r="K138" t="str" cm="1">
        <f t="array" ref="K138">INDEX(Tbl_Translations[[#This Row],[Language 1]:[Language 10]],IFERROR(MATCH(Introduction!$C$22,Tbl_Langauges[Language],0),1))</f>
        <v>Q12.   Which United States rocket launched first?</v>
      </c>
    </row>
    <row r="139" spans="1:11">
      <c r="A139" t="s">
        <v>283</v>
      </c>
      <c r="B139" t="s">
        <v>284</v>
      </c>
      <c r="K139" t="str" cm="1">
        <f t="array" ref="K139">INDEX(Tbl_Translations[[#This Row],[Language 1]:[Language 10]],IFERROR(MATCH(Introduction!$C$22,Tbl_Langauges[Language],0),1))</f>
        <v>CONGRATULATIONS! You earned your Space Data Badge!</v>
      </c>
    </row>
    <row r="140" spans="1:11">
      <c r="A140" t="s">
        <v>285</v>
      </c>
      <c r="B140" t="s">
        <v>286</v>
      </c>
      <c r="K140" t="str" cm="1">
        <f t="array" ref="K140">INDEX(Tbl_Translations[[#This Row],[Language 1]:[Language 10]],IFERROR(MATCH(Introduction!$C$22,Tbl_Langauges[Language],0),1))</f>
        <v>Keep answering questions to get your Space Data Badge!</v>
      </c>
    </row>
    <row r="141" spans="1:11">
      <c r="A141" t="s">
        <v>287</v>
      </c>
      <c r="B141" t="s">
        <v>288</v>
      </c>
      <c r="K141" t="str" cm="1">
        <f t="array" ref="K141">INDEX(Tbl_Translations[[#This Row],[Language 1]:[Language 10]],IFERROR(MATCH(Introduction!$C$22,Tbl_Langauges[Language],0),1))</f>
        <v>Start</v>
      </c>
    </row>
    <row r="142" spans="1:11">
      <c r="A142" t="s">
        <v>289</v>
      </c>
      <c r="B142" t="s">
        <v>290</v>
      </c>
      <c r="K142" t="str" cm="1">
        <f t="array" ref="K142">INDEX(Tbl_Translations[[#This Row],[Language 1]:[Language 10]],IFERROR(MATCH(Introduction!$C$22,Tbl_Langauges[Language],0),1))</f>
        <v>Keep Trying</v>
      </c>
    </row>
    <row r="143" spans="1:11">
      <c r="A143" t="s">
        <v>291</v>
      </c>
      <c r="B143" t="s">
        <v>292</v>
      </c>
      <c r="K143" t="str" cm="1">
        <f t="array" ref="K143">INDEX(Tbl_Translations[[#This Row],[Language 1]:[Language 10]],IFERROR(MATCH(Introduction!$C$22,Tbl_Langauges[Language],0),1))</f>
        <v>Pass</v>
      </c>
    </row>
    <row r="144" spans="1:11">
      <c r="A144" t="s">
        <v>293</v>
      </c>
      <c r="B144" t="s">
        <v>294</v>
      </c>
      <c r="K144" t="str" cm="1">
        <f t="array" ref="K144">INDEX(Tbl_Translations[[#This Row],[Language 1]:[Language 10]],IFERROR(MATCH(Introduction!$C$22,Tbl_Langauges[Language],0),1))</f>
        <v>Can you identify what types of data? 
Share your knowledge, and start earning your Space Data Badge!</v>
      </c>
    </row>
    <row r="145" spans="1:11">
      <c r="A145" t="s">
        <v>295</v>
      </c>
      <c r="B145" t="s">
        <v>296</v>
      </c>
      <c r="K145" t="str" cm="1">
        <f t="array" ref="K145">INDEX(Tbl_Translations[[#This Row],[Language 1]:[Language 10]],IFERROR(MATCH(Introduction!$C$22,Tbl_Langauges[Language],0),1))</f>
        <v>You've made progress! 
Keep working on identifying that data to earn the first part of your Space Data Badge!</v>
      </c>
    </row>
    <row r="146" spans="1:11">
      <c r="A146" t="s">
        <v>297</v>
      </c>
      <c r="B146" t="s">
        <v>298</v>
      </c>
      <c r="K146" t="str" cm="1">
        <f t="array" ref="K146">INDEX(Tbl_Translations[[#This Row],[Language 1]:[Language 10]],IFERROR(MATCH(Introduction!$C$22,Tbl_Langauges[Language],0),1))</f>
        <v>Congratulations, you've finished the first of three Stages! 
Click NEXT to keep going!</v>
      </c>
    </row>
    <row r="147" spans="1:11">
      <c r="A147" t="s">
        <v>299</v>
      </c>
      <c r="B147" t="s">
        <v>300</v>
      </c>
      <c r="K147" t="str" cm="1">
        <f t="array" ref="K147">INDEX(Tbl_Translations[[#This Row],[Language 1]:[Language 10]],IFERROR(MATCH(Introduction!$C$22,Tbl_Langauges[Language],0),1))</f>
        <v>Can you find the answers by sorting your data?
Share your knowledge, and continue earning your Space Data Badge!</v>
      </c>
    </row>
    <row r="148" spans="1:11">
      <c r="A148" t="s">
        <v>301</v>
      </c>
      <c r="B148" t="s">
        <v>296</v>
      </c>
      <c r="K148" t="str" cm="1">
        <f t="array" ref="K148">INDEX(Tbl_Translations[[#This Row],[Language 1]:[Language 10]],IFERROR(MATCH(Introduction!$C$22,Tbl_Langauges[Language],0),1))</f>
        <v>You've made progress! 
Keep analyzing your data to earn the second part of your Space Data Badge!</v>
      </c>
    </row>
    <row r="149" spans="1:11">
      <c r="A149" t="s">
        <v>302</v>
      </c>
      <c r="B149" t="s">
        <v>303</v>
      </c>
      <c r="K149" t="str" cm="1">
        <f t="array" ref="K149">INDEX(Tbl_Translations[[#This Row],[Language 1]:[Language 10]],IFERROR(MATCH(Introduction!$C$22,Tbl_Langauges[Language],0),1))</f>
        <v>Congratulations, you've finished the second of three stages! 
Click NEXT to keep going!</v>
      </c>
    </row>
    <row r="150" spans="1:11">
      <c r="A150" t="s">
        <v>304</v>
      </c>
      <c r="B150" t="s">
        <v>305</v>
      </c>
      <c r="K150" t="str" cm="1">
        <f t="array" ref="K150">INDEX(Tbl_Translations[[#This Row],[Language 1]:[Language 10]],IFERROR(MATCH(Introduction!$C$22,Tbl_Langauges[Language],0),1))</f>
        <v>Can you find the answers by selecting the proper chart and sorting the table?  
Share your knowledge to complete your Space Data Badge!</v>
      </c>
    </row>
    <row r="151" spans="1:11">
      <c r="A151" t="s">
        <v>306</v>
      </c>
      <c r="B151" t="s">
        <v>307</v>
      </c>
      <c r="K151" t="str" cm="1">
        <f t="array" ref="K151">INDEX(Tbl_Translations[[#This Row],[Language 1]:[Language 10]],IFERROR(MATCH(Introduction!$C$22,Tbl_Langauges[Language],0),1))</f>
        <v>Great work! Keep working to finish your Space Data Badge! See how both the table and the chart can help you!</v>
      </c>
    </row>
    <row r="152" spans="1:11">
      <c r="A152" t="s">
        <v>308</v>
      </c>
      <c r="B152" t="s">
        <v>309</v>
      </c>
      <c r="K152" t="str" cm="1">
        <f t="array" ref="K152">INDEX(Tbl_Translations[[#This Row],[Language 1]:[Language 10]],IFERROR(MATCH(Introduction!$C$22,Tbl_Langauges[Language],0),1))</f>
        <v>Fantastic job, you've finished this activity! 
Answer any remaining questions on tabs 2 or 4 to earn your Badge!</v>
      </c>
    </row>
    <row r="153" spans="1:11">
      <c r="A153" t="s">
        <v>310</v>
      </c>
      <c r="B153" t="s">
        <v>311</v>
      </c>
      <c r="K153" t="str" cm="1">
        <f t="array" ref="K153">INDEX(Tbl_Translations[[#This Row],[Language 1]:[Language 10]],IFERROR(MATCH(Introduction!$C$22,Tbl_Langauges[Language],0),1))</f>
        <v>What is data?</v>
      </c>
    </row>
    <row r="154" spans="1:11">
      <c r="A154" t="s">
        <v>312</v>
      </c>
      <c r="B154" t="s">
        <v>313</v>
      </c>
      <c r="K154" t="str" cm="1">
        <f t="array" ref="K154">INDEX(Tbl_Translations[[#This Row],[Language 1]:[Language 10]],IFERROR(MATCH(Introduction!$C$22,Tbl_Langauges[Language],0),1))</f>
        <v>Not all data is the same. Learn about different types of data that scientists use to answer questions about the world around them, and beyond!</v>
      </c>
    </row>
    <row r="155" spans="1:11">
      <c r="A155" t="s">
        <v>314</v>
      </c>
      <c r="B155" t="s">
        <v>315</v>
      </c>
      <c r="K155" t="str" cm="1">
        <f t="array" ref="K155">INDEX(Tbl_Translations[[#This Row],[Language 1]:[Language 10]],IFERROR(MATCH(Introduction!$C$22,Tbl_Langauges[Language],0),1))</f>
        <v>Choose ↓</v>
      </c>
    </row>
    <row r="156" spans="1:11">
      <c r="A156" t="s">
        <v>316</v>
      </c>
      <c r="B156" t="s">
        <v>317</v>
      </c>
      <c r="K156" t="str" cm="1">
        <f t="array" ref="K156">INDEX(Tbl_Translations[[#This Row],[Language 1]:[Language 10]],IFERROR(MATCH(Introduction!$C$22,Tbl_Langauges[Language],0),1))</f>
        <v>Show your understanding!</v>
      </c>
    </row>
    <row r="157" spans="1:11">
      <c r="A157" t="s">
        <v>318</v>
      </c>
      <c r="B157" t="s">
        <v>319</v>
      </c>
      <c r="K157" t="str" cm="1">
        <f t="array" ref="K157">INDEX(Tbl_Translations[[#This Row],[Language 1]:[Language 10]],IFERROR(MATCH(Introduction!$C$22,Tbl_Langauges[Language],0),1))</f>
        <v>Can you determine what type of data the items below are? Is it text, an image or a number?</v>
      </c>
    </row>
    <row r="158" spans="1:11">
      <c r="A158" t="s">
        <v>320</v>
      </c>
      <c r="B158" t="s">
        <v>321</v>
      </c>
      <c r="K158" t="str" cm="1">
        <f t="array" ref="K158">INDEX(Tbl_Translations[[#This Row],[Language 1]:[Language 10]],IFERROR(MATCH(Introduction!$C$22,Tbl_Langauges[Language],0),1))</f>
        <v>Visualizing data - what is a table?</v>
      </c>
    </row>
    <row r="159" spans="1:11">
      <c r="A159" t="s">
        <v>322</v>
      </c>
      <c r="B159" t="s">
        <v>323</v>
      </c>
      <c r="K159" t="str" cm="1">
        <f t="array" ref="K159">INDEX(Tbl_Translations[[#This Row],[Language 1]:[Language 10]],IFERROR(MATCH(Introduction!$C$22,Tbl_Langauges[Language],0),1))</f>
        <v>When you have all your data in like groups, it can still be difficult to get the information you want. Learn how to organize your data into a TABLE to continue earning your space data badge!</v>
      </c>
    </row>
    <row r="160" spans="1:11">
      <c r="A160" t="s">
        <v>324</v>
      </c>
      <c r="B160" t="s">
        <v>325</v>
      </c>
      <c r="K160" t="str" cm="1">
        <f t="array" ref="K160">INDEX(Tbl_Translations[[#This Row],[Language 1]:[Language 10]],IFERROR(MATCH(Introduction!$C$22,Tbl_Langauges[Language],0),1))</f>
        <v>Visualizing data</v>
      </c>
    </row>
    <row r="161" spans="1:11">
      <c r="A161" t="s">
        <v>326</v>
      </c>
      <c r="B161" t="s">
        <v>327</v>
      </c>
      <c r="K161" t="str" cm="1">
        <f t="array" ref="K161">INDEX(Tbl_Translations[[#This Row],[Language 1]:[Language 10]],IFERROR(MATCH(Introduction!$C$22,Tbl_Langauges[Language],0),1))</f>
        <v>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v>
      </c>
    </row>
    <row r="162" spans="1:11">
      <c r="A162" t="s">
        <v>328</v>
      </c>
      <c r="B162" t="s">
        <v>329</v>
      </c>
      <c r="K162" t="str" cm="1">
        <f t="array" ref="K162">INDEX(Tbl_Translations[[#This Row],[Language 1]:[Language 10]],IFERROR(MATCH(Introduction!$C$22,Tbl_Langauges[Language],0),1))</f>
        <v>Types of data: There are many different types of data that we interpret in our everyday lives. These can include images we see, words we read, and numbers we use!</v>
      </c>
    </row>
    <row r="163" spans="1:11">
      <c r="A163" t="s">
        <v>330</v>
      </c>
      <c r="B163" t="s">
        <v>331</v>
      </c>
      <c r="K163" t="str" cm="1">
        <f t="array" ref="K163">INDEX(Tbl_Translations[[#This Row],[Language 1]:[Language 10]],IFERROR(MATCH(Introduction!$C$22,Tbl_Langauges[Language],0),1))</f>
        <v>Data can be images: Images allow us to better understand something by looking at its shape, size, and color. For example, the Space Shuttle is very large compared to other rockets like Soyuz-U and Saturn V.</v>
      </c>
    </row>
    <row r="164" spans="1:11">
      <c r="A164" t="s">
        <v>332</v>
      </c>
      <c r="B164" t="s">
        <v>333</v>
      </c>
      <c r="K164" t="str" cm="1">
        <f t="array" ref="K164">INDEX(Tbl_Translations[[#This Row],[Language 1]:[Language 10]],IFERROR(MATCH(Introduction!$C$22,Tbl_Langauges[Language],0),1))</f>
        <v>Data can be text: Words can be data too! They can describe or provide meaning to information. Here are some examples of text data: Soyuz-U, Saturn V, Space Shuttle. What text data was most interesting to you?</v>
      </c>
    </row>
    <row r="165" spans="1:11">
      <c r="A165" t="s">
        <v>334</v>
      </c>
      <c r="B165" t="s">
        <v>335</v>
      </c>
      <c r="K165" t="str" cm="1">
        <f t="array" ref="K165">INDEX(Tbl_Translations[[#This Row],[Language 1]:[Language 10]],IFERROR(MATCH(Introduction!$C$22,Tbl_Langauges[Language],0),1))</f>
        <v>Data can be numbers: Numbers are also data! Numbers allow us to directly compare between values. Here are some examples: 110.6, 786, 2030000. Using the number data for the rockets, can you imagine how big these rockets are?</v>
      </c>
    </row>
    <row r="166" spans="1:11">
      <c r="A166" t="s">
        <v>336</v>
      </c>
      <c r="B166" t="s">
        <v>337</v>
      </c>
      <c r="K166" t="str" cm="1">
        <f t="array" ref="K166">INDEX(Tbl_Translations[[#This Row],[Language 1]:[Language 10]],IFERROR(MATCH(Introduction!$C$22,Tbl_Langauges[Language],0),1))</f>
        <v>Data can be grouped: Grouping data can make it easier to understand and compare. For example, we can group data based on type into images, text, and numbers. Now that you understand data better, share your knowledge on the next page to start earning your badge. Use Ctrl key plus page down key to go on to the next page.</v>
      </c>
    </row>
    <row r="167" spans="1:11">
      <c r="A167" t="s">
        <v>338</v>
      </c>
      <c r="B167" t="s">
        <v>339</v>
      </c>
      <c r="K167" t="str" cm="1">
        <f t="array" ref="K167">INDEX(Tbl_Translations[[#This Row],[Language 1]:[Language 10]],IFERROR(MATCH(Introduction!$C$22,Tbl_Langauges[Language],0),1))</f>
        <v>Can you determine what type of data the items are? Is it text, an image, or a number?</v>
      </c>
    </row>
    <row r="168" spans="1:11">
      <c r="A168" t="s">
        <v>340</v>
      </c>
      <c r="B168" t="s">
        <v>341</v>
      </c>
      <c r="K168" t="str" cm="1">
        <f t="array" ref="K168">INDEX(Tbl_Translations[[#This Row],[Language 1]:[Language 10]],IFERROR(MATCH(Introduction!$C$22,Tbl_Langauges[Language],0),1))</f>
        <v>Find the six questions in columns E and L. Use alt key plus down arrow key in the dropdowns (columns G and N) to choose an answer.</v>
      </c>
    </row>
    <row r="169" spans="1:11">
      <c r="A169" t="s">
        <v>342</v>
      </c>
      <c r="B169" t="s">
        <v>343</v>
      </c>
      <c r="K169" t="str" cm="1">
        <f t="array" ref="K169">INDEX(Tbl_Translations[[#This Row],[Language 1]:[Language 10]],IFERROR(MATCH(Introduction!$C$22,Tbl_Langauges[Language],0),1))</f>
        <v>When you have answered all of the questions, use the ctrl key plus the page down key to go on to the next page.</v>
      </c>
    </row>
    <row r="170" spans="1:11">
      <c r="A170" t="s">
        <v>344</v>
      </c>
      <c r="B170" t="s">
        <v>345</v>
      </c>
      <c r="K170" t="str" cm="1">
        <f t="array" ref="K170">INDEX(Tbl_Translations[[#This Row],[Language 1]:[Language 10]],IFERROR(MATCH(Introduction!$C$22,Tbl_Langauges[Language],0),1))</f>
        <v>Data can be messy: Even with our data now grouped by type, it is still difficult to get much of the information we want quickly. To get the information we need easier, we will now arrange the data into a table.</v>
      </c>
    </row>
    <row r="171" spans="1:11">
      <c r="A171" t="s">
        <v>346</v>
      </c>
      <c r="B171" t="s">
        <v>347</v>
      </c>
      <c r="K171" t="str" cm="1">
        <f t="array" ref="K171">INDEX(Tbl_Translations[[#This Row],[Language 1]:[Language 10]],IFERROR(MATCH(Introduction!$C$22,Tbl_Langauges[Language],0),1))</f>
        <v>Data can be organized: Using Excel, you can arrange your data in a way that makes getting useful information fast. Spreadsheets are digital tables that make organizing data a breeze! Currently, the data is grouped by type into images, numbers, and words. Can you think of another way to group the data?</v>
      </c>
    </row>
    <row r="172" spans="1:11">
      <c r="A172" t="s">
        <v>348</v>
      </c>
      <c r="B172" t="s">
        <v>349</v>
      </c>
      <c r="K172" t="str" cm="1">
        <f t="array" ref="K172">INDEX(Tbl_Translations[[#This Row],[Language 1]:[Language 10]],IFERROR(MATCH(Introduction!$C$22,Tbl_Langauges[Language],0),1))</f>
        <v>Organizing with columns: Grouping similar data into vertical columns you can start to organize each data type. By using a column header we can describe the data in that column. Now the data is organized into columns with the column headers of text, images, and numbers. Can you think of other titles we could have used for each column?</v>
      </c>
    </row>
    <row r="173" spans="1:11">
      <c r="A173" t="s">
        <v>350</v>
      </c>
      <c r="B173" t="s">
        <v>351</v>
      </c>
      <c r="K173" t="str" cm="1">
        <f t="array" ref="K173">INDEX(Tbl_Translations[[#This Row],[Language 1]:[Language 10]],IFERROR(MATCH(Introduction!$C$22,Tbl_Langauges[Language],0),1))</f>
        <v>Organizing with rows: Rows have data that is organized horizontally. They help you find data that has different types but is still related. Here, the data in each row is about the same rocket... the Soyuz-U rocket, the Saturn V rocket, and the Space Shuttle!</v>
      </c>
    </row>
    <row r="174" spans="1:11">
      <c r="A174" t="s">
        <v>352</v>
      </c>
      <c r="B174" t="s">
        <v>353</v>
      </c>
      <c r="K174" t="str" cm="1">
        <f t="array" ref="K174">INDEX(Tbl_Translations[[#This Row],[Language 1]:[Language 10]],IFERROR(MATCH(Introduction!$C$22,Tbl_Langauges[Language],0),1))</f>
        <v>Organizing in a table: When the table is complete, the data is organized into rows and columns. For example, the data can be organized by type (text, images, and numbers) and by rockets (Space Shuttle, Soyuz-U, and Saturn V) at the same time.</v>
      </c>
    </row>
    <row r="175" spans="1:11">
      <c r="A175" t="s">
        <v>354</v>
      </c>
      <c r="B175" t="s">
        <v>355</v>
      </c>
      <c r="K175" t="str" cm="1">
        <f t="array" ref="K175">INDEX(Tbl_Translations[[#This Row],[Language 1]:[Language 10]],IFERROR(MATCH(Introduction!$C$22,Tbl_Langauges[Language],0),1))</f>
        <v>Use the ctrl key plus page down key to go on to the next page.</v>
      </c>
    </row>
    <row r="176" spans="1:11">
      <c r="A176" t="s">
        <v>356</v>
      </c>
      <c r="B176" t="s">
        <v>357</v>
      </c>
      <c r="K176" t="str" cm="1">
        <f t="array" ref="K176">INDEX(Tbl_Translations[[#This Row],[Language 1]:[Language 10]],IFERROR(MATCH(Introduction!$C$22,Tbl_Langauges[Language],0),1))</f>
        <v>Using a table</v>
      </c>
    </row>
    <row r="177" spans="1:11">
      <c r="A177" t="s">
        <v>358</v>
      </c>
      <c r="B177" t="s">
        <v>359</v>
      </c>
      <c r="K177" t="str" cm="1">
        <f t="array" ref="K177">INDEX(Tbl_Translations[[#This Row],[Language 1]:[Language 10]],IFERROR(MATCH(Introduction!$C$22,Tbl_Langauges[Language],0),1))</f>
        <v>Placing data in a spreadsheet allows you to arrange and sort the data to get information quickly. See how organizing data in a table can make it easier to research these outer space rockets!</v>
      </c>
    </row>
    <row r="178" spans="1:11">
      <c r="A178" t="s">
        <v>360</v>
      </c>
      <c r="B178" t="s">
        <v>361</v>
      </c>
      <c r="K178" t="str" cm="1">
        <f t="array" ref="K178">INDEX(Tbl_Translations[[#This Row],[Language 1]:[Language 10]],IFERROR(MATCH(Introduction!$C$22,Tbl_Langauges[Language],0),1))</f>
        <v>How many times did it go to space?</v>
      </c>
    </row>
    <row r="179" spans="1:11">
      <c r="A179" t="s">
        <v>362</v>
      </c>
      <c r="B179" t="s">
        <v>363</v>
      </c>
      <c r="K179" t="str" cm="1">
        <f t="array" ref="K179">INDEX(Tbl_Translations[[#This Row],[Language 1]:[Language 10]],IFERROR(MATCH(Introduction!$C$22,Tbl_Langauges[Language],0),1))</f>
        <v>How tall is it?</v>
      </c>
    </row>
    <row r="180" spans="1:11">
      <c r="A180" t="s">
        <v>364</v>
      </c>
      <c r="B180" t="s">
        <v>365</v>
      </c>
      <c r="K180" t="str" cm="1">
        <f t="array" ref="K180">INDEX(Tbl_Translations[[#This Row],[Language 1]:[Language 10]],IFERROR(MATCH(Introduction!$C$22,Tbl_Langauges[Language],0),1))</f>
        <v>How big is it?</v>
      </c>
    </row>
    <row r="181" spans="1:11">
      <c r="A181" t="s">
        <v>366</v>
      </c>
      <c r="B181" t="s">
        <v>359</v>
      </c>
      <c r="K181" t="str" cm="1">
        <f t="array" ref="K181">INDEX(Tbl_Translations[[#This Row],[Language 1]:[Language 10]],IFERROR(MATCH(Introduction!$C$22,Tbl_Langauges[Language],0),1))</f>
        <v>Placing data in a spreadsheet allows you to arrange and sort the data to get information quickly. Explore how organizing data in a table can make it easier to research these outer space rockets!</v>
      </c>
    </row>
    <row r="182" spans="1:11">
      <c r="A182" t="s">
        <v>367</v>
      </c>
      <c r="B182" t="s">
        <v>368</v>
      </c>
      <c r="K182" t="str" cm="1">
        <f t="array" ref="K182">INDEX(Tbl_Translations[[#This Row],[Language 1]:[Language 10]],IFERROR(MATCH(Introduction!$C$22,Tbl_Langauges[Language],0),1))</f>
        <v>Sorting in a table: Having data put into a table not only organizes, but also allows Excel to sort for you. Sorting allows you to arrange column data in a different order that you choose.</v>
      </c>
    </row>
    <row r="183" spans="1:11">
      <c r="A183" t="s">
        <v>369</v>
      </c>
      <c r="B183" t="s">
        <v>370</v>
      </c>
      <c r="K183" t="str" cm="1">
        <f t="array" ref="K183">INDEX(Tbl_Translations[[#This Row],[Language 1]:[Language 10]],IFERROR(MATCH(Introduction!$C$22,Tbl_Langauges[Language],0),1))</f>
        <v>How do you sort? You can sort by using the filter button (a small down arrow) located in the column header. This brings up a menu, which allows you to choose how you want to sort your data.</v>
      </c>
    </row>
    <row r="184" spans="1:11">
      <c r="A184" t="s">
        <v>371</v>
      </c>
      <c r="B184" t="s">
        <v>372</v>
      </c>
      <c r="K184" t="str" cm="1">
        <f t="array" ref="K184">INDEX(Tbl_Translations[[#This Row],[Language 1]:[Language 10]],IFERROR(MATCH(Introduction!$C$22,Tbl_Langauges[Language],0),1))</f>
        <v>Sorting ascending: You can sort both numbers and text by their values. In the Sort menu, using Sort Ascending arranges the data with the smallest at the top, and the largest at the bottom.</v>
      </c>
    </row>
    <row r="185" spans="1:11">
      <c r="A185" t="s">
        <v>373</v>
      </c>
      <c r="B185" t="s">
        <v>374</v>
      </c>
      <c r="K185" t="str" cm="1">
        <f t="array" ref="K185">INDEX(Tbl_Translations[[#This Row],[Language 1]:[Language 10]],IFERROR(MATCH(Introduction!$C$22,Tbl_Langauges[Language],0),1))</f>
        <v>Sorting descending: You can also sort in descending order in a similar manner. In the Sort menu, use the Sort Descending option to arrange the data from largest to smallest.</v>
      </c>
    </row>
    <row r="186" spans="1:11">
      <c r="A186" t="s">
        <v>375</v>
      </c>
      <c r="B186" t="s">
        <v>376</v>
      </c>
      <c r="K186" t="str" cm="1">
        <f t="array" ref="K186">INDEX(Tbl_Translations[[#This Row],[Language 1]:[Language 10]],IFERROR(MATCH(Introduction!$C$22,Tbl_Langauges[Language],0),1))</f>
        <v>Show your understanding by answering the questions in column M, then return to column A to continue the activity. You can find the table with rockets from cells F13 to I19, and the column headers with Sort menus in cells F13 to I13.</v>
      </c>
    </row>
    <row r="187" spans="1:11">
      <c r="A187" t="s">
        <v>377</v>
      </c>
      <c r="B187" t="s">
        <v>378</v>
      </c>
      <c r="K187" t="str" cm="1">
        <f t="array" ref="K187">INDEX(Tbl_Translations[[#This Row],[Language 1]:[Language 10]],IFERROR(MATCH(Introduction!$C$22,Tbl_Langauges[Language],0),1))</f>
        <v>Share your knowledge</v>
      </c>
    </row>
    <row r="188" spans="1:11">
      <c r="A188" t="s">
        <v>379</v>
      </c>
      <c r="B188" t="s">
        <v>380</v>
      </c>
      <c r="K188" t="str" cm="1">
        <f t="array" ref="K188">INDEX(Tbl_Translations[[#This Row],[Language 1]:[Language 10]],IFERROR(MATCH(Introduction!$C$22,Tbl_Langauges[Language],0),1))</f>
        <v>Launches</v>
      </c>
    </row>
    <row r="189" spans="1:11">
      <c r="A189" t="s">
        <v>381</v>
      </c>
      <c r="B189" t="s">
        <v>382</v>
      </c>
      <c r="K189" t="str" cm="1">
        <f t="array" ref="K189">INDEX(Tbl_Translations[[#This Row],[Language 1]:[Language 10]],IFERROR(MATCH(Introduction!$C$22,Tbl_Langauges[Language],0),1))</f>
        <v>Visualizing data: What is a chart?</v>
      </c>
    </row>
    <row r="190" spans="1:11">
      <c r="A190" t="s">
        <v>383</v>
      </c>
      <c r="B190" t="s">
        <v>384</v>
      </c>
      <c r="K190" t="str" cm="1">
        <f t="array" ref="K190">INDEX(Tbl_Translations[[#This Row],[Language 1]:[Language 10]],IFERROR(MATCH(Introduction!$C$22,Tbl_Langauges[Language],0),1))</f>
        <v>Learn about charts by checking out the different heights of rockets.</v>
      </c>
    </row>
    <row r="191" spans="1:11">
      <c r="A191" t="s">
        <v>385</v>
      </c>
      <c r="B191" t="s">
        <v>386</v>
      </c>
      <c r="K191" t="str" cm="1">
        <f t="array" ref="K191">INDEX(Tbl_Translations[[#This Row],[Language 1]:[Language 10]],IFERROR(MATCH(Introduction!$C$22,Tbl_Langauges[Language],0),1))</f>
        <v>What are Charts? Charts help you think about data in a way that may be easier to understand. A chart is a visual representation of a table. In this lesson, find the original table in cells Q15 to T21, and find the chart by pressing the ctrl key plus the F6 key (when in Excel for the web) or Ctrl key plus Alt key plus 5 (when in Excel for Windows) until you locate the chart.</v>
      </c>
    </row>
    <row r="192" spans="1:11">
      <c r="A192" t="s">
        <v>387</v>
      </c>
      <c r="B192" t="s">
        <v>388</v>
      </c>
      <c r="K192" t="str" cm="1">
        <f t="array" ref="K192">INDEX(Tbl_Translations[[#This Row],[Language 1]:[Language 10]],IFERROR(MATCH(Introduction!$C$22,Tbl_Langauges[Language],0),1))</f>
        <v>What is a plot area? The plot area in an Excel chart refers to the area of the chart where you find the data.</v>
      </c>
    </row>
    <row r="193" spans="1:11">
      <c r="A193" t="s">
        <v>389</v>
      </c>
      <c r="B193" t="s">
        <v>390</v>
      </c>
      <c r="K193" t="str" cm="1">
        <f t="array" ref="K193">INDEX(Tbl_Translations[[#This Row],[Language 1]:[Language 10]],IFERROR(MATCH(Introduction!$C$22,Tbl_Langauges[Language],0),1))</f>
        <v>What is a chart title? A chart title describes the purpose of the chart. It is placed in the center at the top of the chart.</v>
      </c>
    </row>
    <row r="194" spans="1:11">
      <c r="A194" t="s">
        <v>391</v>
      </c>
      <c r="B194" t="s">
        <v>392</v>
      </c>
      <c r="K194" t="str" cm="1">
        <f t="array" ref="K194">INDEX(Tbl_Translations[[#This Row],[Language 1]:[Language 10]],IFERROR(MATCH(Introduction!$C$22,Tbl_Langauges[Language],0),1))</f>
        <v>What are axis titles? Most charts have a vertical and a horizontal axis. On this chart, the vertical (or "y") axis shows the data measured which is height in meters, and the horizontal (or "x" axis shows the category which is rockets.</v>
      </c>
    </row>
    <row r="195" spans="1:11">
      <c r="A195" t="s">
        <v>393</v>
      </c>
      <c r="B195" t="s">
        <v>394</v>
      </c>
      <c r="K195" t="str" cm="1">
        <f t="array" ref="K195">INDEX(Tbl_Translations[[#This Row],[Language 1]:[Language 10]],IFERROR(MATCH(Introduction!$C$22,Tbl_Langauges[Language],0),1))</f>
        <v>How do you sort data? Sorting helps you organize and understand your data quickly. To sort, go to the column header in a table and use the alt key plus the down arrow key to open the Sort menu.</v>
      </c>
    </row>
    <row r="196" spans="1:11">
      <c r="A196" t="s">
        <v>395</v>
      </c>
      <c r="B196" t="s">
        <v>355</v>
      </c>
      <c r="K196" t="str" cm="1">
        <f t="array" ref="K196">INDEX(Tbl_Translations[[#This Row],[Language 1]:[Language 10]],IFERROR(MATCH(Introduction!$C$22,Tbl_Langauges[Language],0),1))</f>
        <v>Use the ctrl key plus the page down key to go on to the next page.</v>
      </c>
    </row>
    <row r="197" spans="1:11">
      <c r="A197" t="s">
        <v>396</v>
      </c>
      <c r="B197" t="s">
        <v>382</v>
      </c>
      <c r="K197" t="str" cm="1">
        <f t="array" ref="K197">INDEX(Tbl_Translations[[#This Row],[Language 1]:[Language 10]],IFERROR(MATCH(Introduction!$C$22,Tbl_Langauges[Language],0),1))</f>
        <v>Visualizing Data: What is a chart</v>
      </c>
    </row>
    <row r="198" spans="1:11">
      <c r="A198" t="s">
        <v>397</v>
      </c>
      <c r="B198" t="s">
        <v>384</v>
      </c>
      <c r="K198" t="str" cm="1">
        <f t="array" ref="K198">INDEX(Tbl_Translations[[#This Row],[Language 1]:[Language 10]],IFERROR(MATCH(Introduction!$C$22,Tbl_Langauges[Language],0),1))</f>
        <v>Learn about charts through looking at the different heights of these rockets.</v>
      </c>
    </row>
    <row r="199" spans="1:11">
      <c r="A199" t="s">
        <v>398</v>
      </c>
      <c r="B199" t="s">
        <v>399</v>
      </c>
      <c r="K199" t="str" cm="1">
        <f t="array" ref="K199">INDEX(Tbl_Translations[[#This Row],[Language 1]:[Language 10]],IFERROR(MATCH(Introduction!$C$22,Tbl_Langauges[Language],0),1))</f>
        <v>Learning through a chart</v>
      </c>
    </row>
    <row r="200" spans="1:11">
      <c r="A200" t="s">
        <v>400</v>
      </c>
      <c r="B200" t="s">
        <v>401</v>
      </c>
      <c r="K200" t="str" cm="1">
        <f t="array" ref="K200">INDEX(Tbl_Translations[[#This Row],[Language 1]:[Language 10]],IFERROR(MATCH(Introduction!$C$22,Tbl_Langauges[Language],0),1))</f>
        <v>Share all that you have learned about data, tables, and charts by exploring these six historical rockets!</v>
      </c>
    </row>
    <row r="201" spans="1:11">
      <c r="A201" t="s">
        <v>402</v>
      </c>
      <c r="B201" t="s">
        <v>403</v>
      </c>
      <c r="K201" t="str" cm="1">
        <f t="array" ref="K201">INDEX(Tbl_Translations[[#This Row],[Language 1]:[Language 10]],IFERROR(MATCH(Introduction!$C$22,Tbl_Langauges[Language],0),1))</f>
        <v>Show your understanding! Can you find the answers by sorting your data? Use the dropdown menu (with alt key plus down arrow key to bring up the menu) in cell I4 to switch between number of rocket launches, height of the rockets, and mass of the rockets. Find the chart using the ctrl key plus the F6 key. Use the table in cells D18 to I24 to answer the questions in column M. When you have finished answering the questions, return to column A to continue.</v>
      </c>
    </row>
    <row r="202" spans="1:11">
      <c r="A202" t="s">
        <v>284</v>
      </c>
      <c r="B202" t="s">
        <v>284</v>
      </c>
      <c r="K202" t="str" cm="1">
        <f t="array" ref="K202">INDEX(Tbl_Translations[[#This Row],[Language 1]:[Language 10]],IFERROR(MATCH(Introduction!$C$22,Tbl_Langauges[Language],0),1))</f>
        <v>¡FELICIDADES! Has ganado tu insignia de datos espaciales</v>
      </c>
    </row>
    <row r="203" spans="1:11">
      <c r="A203" t="s">
        <v>404</v>
      </c>
      <c r="B203" t="s">
        <v>405</v>
      </c>
      <c r="K203" t="str" cm="1">
        <f t="array" ref="K203">INDEX(Tbl_Translations[[#This Row],[Language 1]:[Language 10]],IFERROR(MATCH(Introduction!$C$22,Tbl_Langauges[Language],0),1))</f>
        <v>If you would like to explore lesson extensions, a lesson plan, and a student journal, use the ctrl key plus page down key to move on.</v>
      </c>
    </row>
    <row r="204" spans="1:11">
      <c r="A204" t="s">
        <v>406</v>
      </c>
      <c r="B204" t="s">
        <v>407</v>
      </c>
      <c r="K204" t="str" cm="1">
        <f t="array" ref="K204">INDEX(Tbl_Translations[[#This Row],[Language 1]:[Language 10]],IFERROR(MATCH(Introduction!$C$22,Tbl_Langauges[Language],0),1))</f>
        <v>Test all you have learned about data, tables, and charts through exploring these six historical rockets!</v>
      </c>
    </row>
    <row r="205" spans="1:11">
      <c r="A205" t="s">
        <v>408</v>
      </c>
      <c r="B205" t="s">
        <v>409</v>
      </c>
      <c r="K205" t="str" cm="1">
        <f t="array" ref="K205">INDEX(Tbl_Translations[[#This Row],[Language 1]:[Language 10]],IFERROR(MATCH(Introduction!$C$22,Tbl_Langauges[Language],0),1))</f>
        <v>Rocket name</v>
      </c>
    </row>
    <row r="206" spans="1:11">
      <c r="A206" t="s">
        <v>410</v>
      </c>
      <c r="B206" t="s">
        <v>411</v>
      </c>
      <c r="K206" t="str" cm="1">
        <f t="array" ref="K206">INDEX(Tbl_Translations[[#This Row],[Language 1]:[Language 10]],IFERROR(MATCH(Introduction!$C$22,Tbl_Langauges[Language],0),1))</f>
        <v>First launch</v>
      </c>
    </row>
    <row r="207" spans="1:11">
      <c r="A207" t="s">
        <v>412</v>
      </c>
      <c r="B207" t="s">
        <v>413</v>
      </c>
      <c r="K207" t="str" cm="1">
        <f t="array" ref="K207">INDEX(Tbl_Translations[[#This Row],[Language 1]:[Language 10]],IFERROR(MATCH(Introduction!$C$22,Tbl_Langauges[Language],0),1))</f>
        <v>You earned a Space Data Badge!</v>
      </c>
    </row>
    <row r="208" spans="1:11">
      <c r="A208" t="s">
        <v>414</v>
      </c>
      <c r="B208" t="s">
        <v>415</v>
      </c>
      <c r="K208" t="str" cm="1">
        <f t="array" ref="K208">INDEX(Tbl_Translations[[#This Row],[Language 1]:[Language 10]],IFERROR(MATCH(Introduction!$C$22,Tbl_Langauges[Language],0),1))</f>
        <v>Nice work, space data explorer! You learned so much about data and space!</v>
      </c>
    </row>
    <row r="209" spans="1:11">
      <c r="A209" t="s">
        <v>416</v>
      </c>
      <c r="B209" t="s">
        <v>417</v>
      </c>
      <c r="K209" t="str" cm="1">
        <f t="array" ref="K209">INDEX(Tbl_Translations[[#This Row],[Language 1]:[Language 10]],IFERROR(MATCH(Introduction!$C$22,Tbl_Langauges[Language],0),1))</f>
        <v>Send postcards to space! Thanks to the Club for the Future, you can send a postcard into space! Think about a future of life in space to benefit Earth, and receive a special space-flown keepsake in return. Visit www.clubforfuture.org to learn more.</v>
      </c>
    </row>
    <row r="210" spans="1:11">
      <c r="A210" t="s">
        <v>418</v>
      </c>
      <c r="B210" t="s">
        <v>419</v>
      </c>
      <c r="K210" t="str" cm="1">
        <f t="array" ref="K210">INDEX(Tbl_Translations[[#This Row],[Language 1]:[Language 10]],IFERROR(MATCH(Introduction!$C$22,Tbl_Langauges[Language],0),1))</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row>
    <row r="211" spans="1:11">
      <c r="A211" t="s">
        <v>420</v>
      </c>
      <c r="B211" t="s">
        <v>421</v>
      </c>
      <c r="K211" t="str" cm="1">
        <f t="array" ref="K211">INDEX(Tbl_Translations[[#This Row],[Language 1]:[Language 10]],IFERROR(MATCH(Introduction!$C$22,Tbl_Langauges[Language],0),1))</f>
        <v>BRING SPACE TO THE CLASSROOM</v>
      </c>
    </row>
    <row r="212" spans="1:11">
      <c r="A212" t="s">
        <v>422</v>
      </c>
      <c r="B212" t="s">
        <v>423</v>
      </c>
      <c r="K212" t="str" cm="1">
        <f t="array" ref="K212">INDEX(Tbl_Translations[[#This Row],[Language 1]:[Language 10]],IFERROR(MATCH(Introduction!$C$22,Tbl_Langauges[Language],0),1))</f>
        <v>Link</v>
      </c>
    </row>
    <row r="213" spans="1:11">
      <c r="A213" t="s">
        <v>424</v>
      </c>
      <c r="B213" t="s">
        <v>425</v>
      </c>
      <c r="K213" t="str" cm="1">
        <f t="array" ref="K213">INDEX(Tbl_Translations[[#This Row],[Language 1]:[Language 10]],IFERROR(MATCH(Introduction!$C$22,Tbl_Langauges[Language],0),1))</f>
        <v>Teachers, please find the lesson plan in columns C and D, and the standards covered in column N.</v>
      </c>
    </row>
    <row r="214" spans="1:11">
      <c r="A214" t="s">
        <v>426</v>
      </c>
      <c r="B214" t="s">
        <v>427</v>
      </c>
      <c r="K214" t="str" cm="1">
        <f t="array" ref="K214">INDEX(Tbl_Translations[[#This Row],[Language 1]:[Language 10]],IFERROR(MATCH(Introduction!$C$22,Tbl_Langauges[Language],0),1))</f>
        <v>Teacher Lesson Plan – How Astronauts Organize Data</v>
      </c>
    </row>
    <row r="215" spans="1:11">
      <c r="A215" t="s">
        <v>428</v>
      </c>
      <c r="B215" t="s">
        <v>429</v>
      </c>
      <c r="K215" t="str" cm="1">
        <f t="array" ref="K215">INDEX(Tbl_Translations[[#This Row],[Language 1]:[Language 10]],IFERROR(MATCH(Introduction!$C$22,Tbl_Langauges[Language],0),1))</f>
        <v>In this lesson, students explore the importance of data as it relates to our astronauts, our space missions, and our world. This self-paced Excel Online activity introduces beginning concepts for understanding and using data. Students learn how data can be categorized, arranged and sorted in order to make seemingly random information useful and meaningful. </v>
      </c>
    </row>
    <row r="216" spans="1:11">
      <c r="A216" t="s">
        <v>430</v>
      </c>
      <c r="B216" t="s">
        <v>431</v>
      </c>
      <c r="K216" t="str" cm="1">
        <f t="array" ref="K216">INDEX(Tbl_Translations[[#This Row],[Language 1]:[Language 10]],IFERROR(MATCH(Introduction!$C$22,Tbl_Langauges[Language],0),1))</f>
        <v>LEARNING OBJECTIVE</v>
      </c>
    </row>
    <row r="217" spans="1:11">
      <c r="A217" t="s">
        <v>432</v>
      </c>
      <c r="B217" t="s">
        <v>433</v>
      </c>
      <c r="K217" t="str" cm="1">
        <f t="array" ref="K217">INDEX(Tbl_Translations[[#This Row],[Language 1]:[Language 10]],IFERROR(MATCH(Introduction!$C$22,Tbl_Langauges[Language],0),1))</f>
        <v>Compare and contrast data using Excel Online by sorting it in a table and interpreting corresponding visualizations of the data displayed in column charts.</v>
      </c>
    </row>
    <row r="218" spans="1:11">
      <c r="A218" t="s">
        <v>434</v>
      </c>
      <c r="B218" t="s">
        <v>435</v>
      </c>
      <c r="K218" t="str" cm="1">
        <f t="array" ref="K218">INDEX(Tbl_Translations[[#This Row],[Language 1]:[Language 10]],IFERROR(MATCH(Introduction!$C$22,Tbl_Langauges[Language],0),1))</f>
        <v>INSTRUCTIONS</v>
      </c>
    </row>
    <row r="219" spans="1:11">
      <c r="A219" t="s">
        <v>436</v>
      </c>
      <c r="B219" t="s">
        <v>437</v>
      </c>
      <c r="K219" t="str" cm="1">
        <f t="array" ref="K219">INDEX(Tbl_Translations[[#This Row],[Language 1]:[Language 10]],IFERROR(MATCH(Introduction!$C$22,Tbl_Langauges[Language],0),1))</f>
        <v>Open the How Astronauts Organize Data workbook and familiarize yourself with how to use it by reading the information in the Contents worksheet of the workbook.</v>
      </c>
    </row>
    <row r="220" spans="1:11">
      <c r="A220" t="s">
        <v>438</v>
      </c>
      <c r="B220" t="s">
        <v>439</v>
      </c>
      <c r="K220" t="str" cm="1">
        <f t="array" ref="K220">INDEX(Tbl_Translations[[#This Row],[Language 1]:[Language 10]],IFERROR(MATCH(Introduction!$C$22,Tbl_Langauges[Language],0),1))</f>
        <v>Complete the guided steps in the workbook for each of the worksheets prior to introducing the activity to your students.</v>
      </c>
    </row>
    <row r="221" spans="1:11">
      <c r="A221" t="s">
        <v>440</v>
      </c>
      <c r="B221" t="s">
        <v>441</v>
      </c>
      <c r="K221" t="str" cm="1">
        <f t="array" ref="K221">INDEX(Tbl_Translations[[#This Row],[Language 1]:[Language 10]],IFERROR(MATCH(Introduction!$C$22,Tbl_Langauges[Language],0),1))</f>
        <v>Guide your students in opening the workbook, introduce your students to the lesson using the Introduction worksheet and show them how to navigate the workbook to earn their Space Data Badge.</v>
      </c>
    </row>
    <row r="222" spans="1:11">
      <c r="A222" t="s">
        <v>442</v>
      </c>
      <c r="B222" t="s">
        <v>443</v>
      </c>
      <c r="K222" t="str" cm="1">
        <f t="array" ref="K222">INDEX(Tbl_Translations[[#This Row],[Language 1]:[Language 10]],IFERROR(MATCH(Introduction!$C$22,Tbl_Langauges[Language],0),1))</f>
        <v>LEARNING EXTENSION</v>
      </c>
    </row>
    <row r="223" spans="1:11">
      <c r="A223" t="s">
        <v>444</v>
      </c>
      <c r="B223" t="s">
        <v>445</v>
      </c>
      <c r="K223" t="str" cm="1">
        <f t="array" ref="K223">INDEX(Tbl_Translations[[#This Row],[Language 1]:[Language 10]],IFERROR(MATCH(Introduction!$C$22,Tbl_Langauges[Language],0),1))</f>
        <v>Have students complete the Club for the Future lesson located in the Extensions worksheet of the How Astronauts Organize Data Excel Online workbook.</v>
      </c>
    </row>
    <row r="224" spans="1:11">
      <c r="A224" t="s">
        <v>446</v>
      </c>
      <c r="B224" t="s">
        <v>447</v>
      </c>
      <c r="K224" t="str" cm="1">
        <f t="array" ref="K224">INDEX(Tbl_Translations[[#This Row],[Language 1]:[Language 10]],IFERROR(MATCH(Introduction!$C$22,Tbl_Langauges[Language],0),1))</f>
        <v>STANDARDS</v>
      </c>
    </row>
    <row r="225" spans="1:11">
      <c r="A225" t="s">
        <v>448</v>
      </c>
      <c r="B225" t="s">
        <v>448</v>
      </c>
      <c r="K225" t="str" cm="1">
        <f t="array" ref="K225">INDEX(Tbl_Translations[[#This Row],[Language 1]:[Language 10]],IFERROR(MATCH(Introduction!$C$22,Tbl_Langauges[Language],0),1))</f>
        <v>NGSS</v>
      </c>
    </row>
    <row r="226" spans="1:11">
      <c r="A226" t="s">
        <v>449</v>
      </c>
      <c r="B226" t="s">
        <v>450</v>
      </c>
      <c r="K226" t="str" cm="1">
        <f t="array" ref="K226">INDEX(Tbl_Translations[[#This Row],[Language 1]:[Language 10]],IFERROR(MATCH(Introduction!$C$22,Tbl_Langauges[Language],0),1))</f>
        <v xml:space="preserve">5-PS1-2. Measure and graph quantities such as weight to address scientific and engineering questions and problems.  </v>
      </c>
    </row>
    <row r="227" spans="1:11">
      <c r="A227" t="s">
        <v>451</v>
      </c>
      <c r="B227" t="s">
        <v>452</v>
      </c>
      <c r="K227" t="str" cm="1">
        <f t="array" ref="K227">INDEX(Tbl_Translations[[#This Row],[Language 1]:[Language 10]],IFERROR(MATCH(Introduction!$C$22,Tbl_Langauges[Language],0),1))</f>
        <v xml:space="preserve">CCSS.Math.Content.3.MD.B.3 </v>
      </c>
    </row>
    <row r="228" spans="1:11">
      <c r="A228" t="s">
        <v>453</v>
      </c>
      <c r="B228" t="s">
        <v>454</v>
      </c>
      <c r="K228" t="str" cm="1">
        <f t="array" ref="K228">INDEX(Tbl_Translations[[#This Row],[Language 1]:[Language 10]],IFERROR(MATCH(Introduction!$C$22,Tbl_Langauges[Language],0),1))</f>
        <v>Draw a scaled picture graph and a scaled bar graph to represent a data set with several categories. Solve one- and two-step "how many more" and "how many less" problems using information presented in scaled bar graphs.</v>
      </c>
    </row>
    <row r="229" spans="1:11">
      <c r="A229" t="s">
        <v>455</v>
      </c>
      <c r="B229" t="s">
        <v>455</v>
      </c>
      <c r="K229" t="str" cm="1">
        <f t="array" ref="K229">INDEX(Tbl_Translations[[#This Row],[Language 1]:[Language 10]],IFERROR(MATCH(Introduction!$C$22,Tbl_Langauges[Language],0),1))</f>
        <v>ISTE</v>
      </c>
    </row>
    <row r="230" spans="1:11">
      <c r="A230" t="s">
        <v>456</v>
      </c>
      <c r="B230" t="s">
        <v>457</v>
      </c>
      <c r="K230" t="str" cm="1">
        <f t="array" ref="K230">INDEX(Tbl_Translations[[#This Row],[Language 1]:[Language 10]],IFERROR(MATCH(Introduction!$C$22,Tbl_Langauges[Language],0),1))</f>
        <v>5b - Students collect data or identify relevant data sets, use digital tools to analyze them, and represent data in various ways to facilitate problem-solving and decision-making.</v>
      </c>
    </row>
    <row r="231" spans="1:11">
      <c r="A231" t="s">
        <v>458</v>
      </c>
      <c r="B231" t="s">
        <v>459</v>
      </c>
      <c r="K231" t="str" cm="1">
        <f t="array" ref="K231">INDEX(Tbl_Translations[[#This Row],[Language 1]:[Language 10]],IFERROR(MATCH(Introduction!$C$22,Tbl_Langauges[Language],0),1))</f>
        <v>REFLECTION</v>
      </c>
    </row>
    <row r="232" spans="1:11">
      <c r="A232" t="s">
        <v>460</v>
      </c>
      <c r="B232" t="s">
        <v>461</v>
      </c>
      <c r="K232" t="str" cm="1">
        <f t="array" ref="K232">INDEX(Tbl_Translations[[#This Row],[Language 1]:[Language 10]],IFERROR(MATCH(Introduction!$C$22,Tbl_Langauges[Language],0),1))</f>
        <v xml:space="preserve">Have students complete the Student Journal and use their responses in a group discussion to summarize the lesson. </v>
      </c>
    </row>
    <row r="233" spans="1:11">
      <c r="A233" t="s">
        <v>462</v>
      </c>
      <c r="B233" t="s">
        <v>463</v>
      </c>
      <c r="K233" t="str" cm="1">
        <f t="array" ref="K233">INDEX(Tbl_Translations[[#This Row],[Language 1]:[Language 10]],IFERROR(MATCH(Introduction!$C$22,Tbl_Langauges[Language],0),1))</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row>
    <row r="234" spans="1:11">
      <c r="A234" t="s">
        <v>464</v>
      </c>
      <c r="B234" t="s">
        <v>465</v>
      </c>
      <c r="K234" t="str" cm="1">
        <f t="array" ref="K234">INDEX(Tbl_Translations[[#This Row],[Language 1]:[Language 10]],IFERROR(MATCH(Introduction!$C$22,Tbl_Langauges[Language],0),1))</f>
        <v>Find the questions in columns D and K.</v>
      </c>
    </row>
    <row r="235" spans="1:11">
      <c r="A235" t="s">
        <v>466</v>
      </c>
      <c r="B235" t="s">
        <v>467</v>
      </c>
      <c r="K235" t="str" cm="1">
        <f t="array" ref="K235">INDEX(Tbl_Translations[[#This Row],[Language 1]:[Language 10]],IFERROR(MATCH(Introduction!$C$22,Tbl_Langauges[Language],0),1))</f>
        <v>Name</v>
      </c>
    </row>
    <row r="236" spans="1:11">
      <c r="A236" t="s">
        <v>468</v>
      </c>
      <c r="B236" t="s">
        <v>469</v>
      </c>
      <c r="K236" t="str" cm="1">
        <f t="array" ref="K236">INDEX(Tbl_Translations[[#This Row],[Language 1]:[Language 10]],IFERROR(MATCH(Introduction!$C$22,Tbl_Langauges[Language],0),1))</f>
        <v>Date</v>
      </c>
    </row>
    <row r="237" spans="1:11">
      <c r="A237" t="s">
        <v>470</v>
      </c>
      <c r="B237" t="s">
        <v>471</v>
      </c>
      <c r="K237" t="str" cm="1">
        <f t="array" ref="K237">INDEX(Tbl_Translations[[#This Row],[Language 1]:[Language 10]],IFERROR(MATCH(Introduction!$C$22,Tbl_Langauges[Language],0),1))</f>
        <v>Class</v>
      </c>
    </row>
    <row r="238" spans="1:11">
      <c r="A238" t="s">
        <v>472</v>
      </c>
      <c r="B238" t="s">
        <v>463</v>
      </c>
      <c r="K238" t="str" cm="1">
        <f t="array" ref="K238">INDEX(Tbl_Translations[[#This Row],[Language 1]:[Language 10]],IFERROR(MATCH(Introduction!$C$22,Tbl_Langauges[Language],0),1))</f>
        <v>Hello! This Student Journal will allow you to keep and record your answers and thoughts to questions inside the Excel workbook activity. At the conclusion of each activity page you will be asked a question that you can answer here. When you are done you can PRINT to PDF or SAVE this document to send to your teacher as evidence of your hard work. Good Luck!</v>
      </c>
    </row>
    <row r="239" spans="1:11">
      <c r="A239" t="s">
        <v>473</v>
      </c>
      <c r="B239" t="s">
        <v>473</v>
      </c>
      <c r="K239" t="str" cm="1">
        <f t="array" ref="K239">INDEX(Tbl_Translations[[#This Row],[Language 1]:[Language 10]],IFERROR(MATCH(Introduction!$C$22,Tbl_Langauges[Language],0),1))</f>
        <v>Tab 1</v>
      </c>
    </row>
    <row r="240" spans="1:11">
      <c r="A240" t="s">
        <v>474</v>
      </c>
      <c r="B240" t="s">
        <v>475</v>
      </c>
      <c r="K240" t="str" cm="1">
        <f t="array" ref="K240">INDEX(Tbl_Translations[[#This Row],[Language 1]:[Language 10]],IFERROR(MATCH(Introduction!$C$22,Tbl_Langauges[Language],0),1))</f>
        <v>Please list three types of data.  For each type of data provide an example.</v>
      </c>
    </row>
    <row r="241" spans="1:11">
      <c r="A241" t="s">
        <v>476</v>
      </c>
      <c r="B241" t="s">
        <v>476</v>
      </c>
      <c r="K241" t="str" cm="1">
        <f t="array" ref="K241">INDEX(Tbl_Translations[[#This Row],[Language 1]:[Language 10]],IFERROR(MATCH(Introduction!$C$22,Tbl_Langauges[Language],0),1))</f>
        <v>Tab 2</v>
      </c>
    </row>
    <row r="242" spans="1:11">
      <c r="A242" t="s">
        <v>477</v>
      </c>
      <c r="B242" t="s">
        <v>478</v>
      </c>
      <c r="K242" t="str" cm="1">
        <f t="array" ref="K242">INDEX(Tbl_Translations[[#This Row],[Language 1]:[Language 10]],IFERROR(MATCH(Introduction!$C$22,Tbl_Langauges[Language],0),1))</f>
        <v xml:space="preserve">What is some data you could collect about a rocket by looking at a picture of it? </v>
      </c>
    </row>
    <row r="243" spans="1:11">
      <c r="A243" t="s">
        <v>479</v>
      </c>
      <c r="B243" t="s">
        <v>479</v>
      </c>
      <c r="K243" t="str" cm="1">
        <f t="array" ref="K243">INDEX(Tbl_Translations[[#This Row],[Language 1]:[Language 10]],IFERROR(MATCH(Introduction!$C$22,Tbl_Langauges[Language],0),1))</f>
        <v>Tab 3</v>
      </c>
    </row>
    <row r="244" spans="1:11">
      <c r="A244" t="s">
        <v>480</v>
      </c>
      <c r="B244" t="s">
        <v>481</v>
      </c>
      <c r="K244" t="str" cm="1">
        <f t="array" ref="K244">INDEX(Tbl_Translations[[#This Row],[Language 1]:[Language 10]],IFERROR(MATCH(Introduction!$C$22,Tbl_Langauges[Language],0),1))</f>
        <v>Why would you put your data into a table?</v>
      </c>
    </row>
    <row r="245" spans="1:11">
      <c r="A245" t="s">
        <v>482</v>
      </c>
      <c r="B245" t="s">
        <v>482</v>
      </c>
      <c r="K245" t="str" cm="1">
        <f t="array" ref="K245">INDEX(Tbl_Translations[[#This Row],[Language 1]:[Language 10]],IFERROR(MATCH(Introduction!$C$22,Tbl_Langauges[Language],0),1))</f>
        <v>Tab 4</v>
      </c>
    </row>
    <row r="246" spans="1:11">
      <c r="A246" t="s">
        <v>483</v>
      </c>
      <c r="B246" t="s">
        <v>484</v>
      </c>
      <c r="K246" t="str" cm="1">
        <f t="array" ref="K246">INDEX(Tbl_Translations[[#This Row],[Language 1]:[Language 10]],IFERROR(MATCH(Introduction!$C$22,Tbl_Langauges[Language],0),1))</f>
        <v>How does sorting data make it easier to get the information you want? Give an example:</v>
      </c>
    </row>
    <row r="247" spans="1:11">
      <c r="A247" t="s">
        <v>485</v>
      </c>
      <c r="B247" t="s">
        <v>485</v>
      </c>
      <c r="K247" t="str" cm="1">
        <f t="array" ref="K247">INDEX(Tbl_Translations[[#This Row],[Language 1]:[Language 10]],IFERROR(MATCH(Introduction!$C$22,Tbl_Langauges[Language],0),1))</f>
        <v>Tab 5</v>
      </c>
    </row>
    <row r="248" spans="1:11">
      <c r="A248" t="s">
        <v>486</v>
      </c>
      <c r="B248" t="s">
        <v>487</v>
      </c>
      <c r="K248" t="str" cm="1">
        <f t="array" ref="K248">INDEX(Tbl_Translations[[#This Row],[Language 1]:[Language 10]],IFERROR(MATCH(Introduction!$C$22,Tbl_Langauges[Language],0),1))</f>
        <v xml:space="preserve">What was easier for you to use, the table or the chart for looking at rocket data?  Explain. </v>
      </c>
    </row>
    <row r="249" spans="1:11">
      <c r="A249" t="s">
        <v>488</v>
      </c>
      <c r="B249" t="s">
        <v>488</v>
      </c>
      <c r="K249" t="str" cm="1">
        <f t="array" ref="K249">INDEX(Tbl_Translations[[#This Row],[Language 1]:[Language 10]],IFERROR(MATCH(Introduction!$C$22,Tbl_Langauges[Language],0),1))</f>
        <v>Tab 6</v>
      </c>
    </row>
    <row r="250" spans="1:11">
      <c r="A250" t="s">
        <v>489</v>
      </c>
      <c r="B250" t="s">
        <v>490</v>
      </c>
      <c r="K250" t="str" cm="1">
        <f t="array" ref="K250">INDEX(Tbl_Translations[[#This Row],[Language 1]:[Language 10]],IFERROR(MATCH(Introduction!$C$22,Tbl_Langauges[Language],0),1))</f>
        <v>What are some other types of data that astronauts use?</v>
      </c>
    </row>
    <row r="251" spans="1:11">
      <c r="A251" t="s">
        <v>491</v>
      </c>
      <c r="B251" t="s">
        <v>492</v>
      </c>
      <c r="K251" t="str" cm="1">
        <f t="array" ref="K251">INDEX(Tbl_Translations[[#This Row],[Language 1]:[Language 10]],IFERROR(MATCH(Introduction!$C$22,Tbl_Langauges[Language],0),1))</f>
        <v>Conclusion</v>
      </c>
    </row>
    <row r="252" spans="1:11">
      <c r="A252" t="s">
        <v>493</v>
      </c>
      <c r="B252" t="s">
        <v>494</v>
      </c>
      <c r="K252" t="str" cm="1">
        <f t="array" ref="K252">INDEX(Tbl_Translations[[#This Row],[Language 1]:[Language 10]],IFERROR(MATCH(Introduction!$C$22,Tbl_Langauges[Language],0),1))</f>
        <v>What other thoughts do you have about data, outer space or rockets that you would like to share with the class?  Do you have an idea that you would like to draw?  You can do that here or look at the lesson extension tab for a postcard activity from Blue Origin's Club for the Future :)</v>
      </c>
    </row>
    <row r="253" spans="1:11">
      <c r="A253" t="s">
        <v>495</v>
      </c>
      <c r="B253" t="s">
        <v>496</v>
      </c>
      <c r="K253" t="str" cm="1">
        <f t="array" ref="K253">INDEX(Tbl_Translations[[#This Row],[Language 1]:[Language 10]],IFERROR(MATCH(Introduction!$C$22,Tbl_Langauges[Language],0),1))</f>
        <v>How Astronauts Visualize Data</v>
      </c>
    </row>
    <row r="254" spans="1:11">
      <c r="A254" t="s">
        <v>497</v>
      </c>
      <c r="B254" t="s">
        <v>23</v>
      </c>
      <c r="K254" t="str" cm="1">
        <f t="array" ref="K254">INDEX(Tbl_Translations[[#This Row],[Language 1]:[Language 10]],IFERROR(MATCH(Introduction!$C$22,Tbl_Langauges[Language],0),1))</f>
        <v>Hacking STEM is excited to partner with NASA to bring you the Day of Data, where you can explore how data powers our astronauts, our space missions, and our world. This self-paced Excel activity introduces you to visualizing data using charts.</v>
      </c>
    </row>
    <row r="255" spans="1:11">
      <c r="A255" t="s">
        <v>498</v>
      </c>
      <c r="B255" t="s">
        <v>499</v>
      </c>
      <c r="K255" t="str" cm="1">
        <f t="array" ref="K255">INDEX(Tbl_Translations[[#This Row],[Language 1]:[Language 10]],IFERROR(MATCH(Introduction!$C$22,Tbl_Langauges[Language],0),1))</f>
        <v xml:space="preserve">You will work with a variety of data sets related to space, and investigate the types of charts that best help to analyze and understand the data. Complete all of the activities to earn a Space Data Badge. Good luck! </v>
      </c>
    </row>
    <row r="256" spans="1:11">
      <c r="A256" t="s">
        <v>500</v>
      </c>
      <c r="B256" t="s">
        <v>501</v>
      </c>
      <c r="K256" t="str" cm="1">
        <f t="array" ref="K256">INDEX(Tbl_Translations[[#This Row],[Language 1]:[Language 10]],IFERROR(MATCH(Introduction!$C$22,Tbl_Langauges[Language],0),1))</f>
        <v>In addition, join our live events on October 14th at 10am PDT and November 2nd at 10AM PST to hear from NASA astronauts and rocket engineers.  Our guest speakers will answer questions, share personal stories, and discuss how data impacts their careers. Have fun!</v>
      </c>
    </row>
    <row r="257" spans="1:11">
      <c r="A257" t="s">
        <v>502</v>
      </c>
      <c r="B257" t="s">
        <v>503</v>
      </c>
      <c r="K257" t="str" cm="1">
        <f t="array" ref="K257">INDEX(Tbl_Translations[[#This Row],[Language 1]:[Language 10]],IFERROR(MATCH(Introduction!$C$22,Tbl_Langauges[Language],0),1))</f>
        <v xml:space="preserve">How astronauts visualize data, in partnership with NASA </v>
      </c>
    </row>
    <row r="258" spans="1:11">
      <c r="A258" t="s">
        <v>504</v>
      </c>
      <c r="B258" t="s">
        <v>505</v>
      </c>
      <c r="K258" t="str" cm="1">
        <f t="array" ref="K258">INDEX(Tbl_Translations[[#This Row],[Language 1]:[Language 10]],IFERROR(MATCH(Introduction!$C$22,Tbl_Langauges[Language],0),1))</f>
        <v xml:space="preserve">Hacking STEM is excited to partner with NASA to bring you the Day of Data, where you can explore how data powers our astronauts, our space missions, and our world. This self-paced Excel activity introduces you to visualizing data using charts. You will work with a variety of data sets related to space, and investigate the types of charts that best help to analyze and understand the data. Complete all of the activities to earn a space data badge. Good luck! </v>
      </c>
    </row>
    <row r="259" spans="1:11">
      <c r="A259" t="s">
        <v>506</v>
      </c>
      <c r="B259" t="s">
        <v>501</v>
      </c>
      <c r="K259" t="str" cm="1">
        <f t="array" ref="K259">INDEX(Tbl_Translations[[#This Row],[Language 1]:[Language 10]],IFERROR(MATCH(Introduction!$C$22,Tbl_Langauges[Language],0),1))</f>
        <v>In addition, join live events on October 14th at 10am PDT and November 2nd at 10am PST to hear from NASA astronauts and rocket scientists! Speakers will share personal stories, discuss how they use data and the impact on their job, and answer questions. Go to aka.ms/DayOfDataEvent to join. Have fun!</v>
      </c>
    </row>
    <row r="260" spans="1:11">
      <c r="A260" t="s">
        <v>507</v>
      </c>
      <c r="B260" t="s">
        <v>508</v>
      </c>
      <c r="K260" t="str" cm="1">
        <f t="array" ref="K260">INDEX(Tbl_Translations[[#This Row],[Language 1]:[Language 10]],IFERROR(MATCH(Introduction!$C$22,Tbl_Langauges[Language],0),1))</f>
        <v>Hello and welcome to your data discovery adventure! Scientists use data to solve problems and gain insights to understand and improve space travel. In this activity, explore space data through different types of visualizations to gain your OWN insights!</v>
      </c>
    </row>
    <row r="261" spans="1:11">
      <c r="A261" t="s">
        <v>509</v>
      </c>
      <c r="B261" t="s">
        <v>510</v>
      </c>
      <c r="K261" t="str" cm="1">
        <f t="array" ref="K261">INDEX(Tbl_Translations[[#This Row],[Language 1]:[Language 10]],IFERROR(MATCH(Introduction!$C$22,Tbl_Langauges[Language],0),1))</f>
        <v>Use the Table of Contents in cells D10 to E20 to orient yourself to the lesson. Then, when you are ready to begin, press Ctrl key plus page down key to go on to the next page.</v>
      </c>
    </row>
    <row r="262" spans="1:11">
      <c r="A262" t="s">
        <v>511</v>
      </c>
      <c r="B262" t="s">
        <v>512</v>
      </c>
      <c r="K262" t="str" cm="1">
        <f t="array" ref="K262">INDEX(Tbl_Translations[[#This Row],[Language 1]:[Language 10]],IFERROR(MATCH(Introduction!$C$22,Tbl_Langauges[Language],0),1))</f>
        <v>Scientists use data to solve problems and gain insights to understand and improve space travel. In this activity, explore space data through different types of visualizations to gain your OWN insights!</v>
      </c>
    </row>
    <row r="263" spans="1:11">
      <c r="A263" t="s">
        <v>513</v>
      </c>
      <c r="B263" t="s">
        <v>514</v>
      </c>
      <c r="K263" t="str" cm="1">
        <f t="array" ref="K263">INDEX(Tbl_Translations[[#This Row],[Language 1]:[Language 10]],IFERROR(MATCH(Introduction!$C$22,Tbl_Langauges[Language],0),1))</f>
        <v>1. Visualizing Data</v>
      </c>
    </row>
    <row r="264" spans="1:11">
      <c r="A264" t="s">
        <v>515</v>
      </c>
      <c r="B264" t="s">
        <v>516</v>
      </c>
      <c r="K264" t="str" cm="1">
        <f t="array" ref="K264">INDEX(Tbl_Translations[[#This Row],[Language 1]:[Language 10]],IFERROR(MATCH(Introduction!$C$22,Tbl_Langauges[Language],0),1))</f>
        <v>2. Visualizing with Size</v>
      </c>
    </row>
    <row r="265" spans="1:11">
      <c r="A265" t="s">
        <v>517</v>
      </c>
      <c r="B265" t="s">
        <v>518</v>
      </c>
      <c r="K265" t="str" cm="1">
        <f t="array" ref="K265">INDEX(Tbl_Translations[[#This Row],[Language 1]:[Language 10]],IFERROR(MATCH(Introduction!$C$22,Tbl_Langauges[Language],0),1))</f>
        <v>3. Visualizing with Color</v>
      </c>
    </row>
    <row r="266" spans="1:11">
      <c r="A266" t="s">
        <v>519</v>
      </c>
      <c r="B266" t="s">
        <v>520</v>
      </c>
      <c r="K266" t="str" cm="1">
        <f t="array" ref="K266">INDEX(Tbl_Translations[[#This Row],[Language 1]:[Language 10]],IFERROR(MATCH(Introduction!$C$22,Tbl_Langauges[Language],0),1))</f>
        <v>4. Visualizing with Position</v>
      </c>
    </row>
    <row r="267" spans="1:11">
      <c r="A267" t="s">
        <v>521</v>
      </c>
      <c r="B267" t="s">
        <v>522</v>
      </c>
      <c r="K267" t="str" cm="1">
        <f t="array" ref="K267">INDEX(Tbl_Translations[[#This Row],[Language 1]:[Language 10]],IFERROR(MATCH(Introduction!$C$22,Tbl_Langauges[Language],0),1))</f>
        <v>5. Visualizing with Complexity</v>
      </c>
    </row>
    <row r="268" spans="1:11">
      <c r="A268" t="s">
        <v>523</v>
      </c>
      <c r="B268" t="s">
        <v>524</v>
      </c>
      <c r="K268" t="str" cm="1">
        <f t="array" ref="K268">INDEX(Tbl_Translations[[#This Row],[Language 1]:[Language 10]],IFERROR(MATCH(Introduction!$C$22,Tbl_Langauges[Language],0),1))</f>
        <v>Activity 1: why we visualize data</v>
      </c>
    </row>
    <row r="269" spans="1:11">
      <c r="A269" t="s">
        <v>525</v>
      </c>
      <c r="B269" t="s">
        <v>526</v>
      </c>
      <c r="K269" t="str" cm="1">
        <f t="array" ref="K269">INDEX(Tbl_Translations[[#This Row],[Language 1]:[Language 10]],IFERROR(MATCH(Introduction!$C$22,Tbl_Langauges[Language],0),1))</f>
        <v>Activity 2: why we use column charts</v>
      </c>
    </row>
    <row r="270" spans="1:11">
      <c r="A270" t="s">
        <v>527</v>
      </c>
      <c r="B270" t="s">
        <v>528</v>
      </c>
      <c r="K270" t="str" cm="1">
        <f t="array" ref="K270">INDEX(Tbl_Translations[[#This Row],[Language 1]:[Language 10]],IFERROR(MATCH(Introduction!$C$22,Tbl_Langauges[Language],0),1))</f>
        <v>Activity 3: why we use stacked column charts</v>
      </c>
    </row>
    <row r="271" spans="1:11">
      <c r="A271" t="s">
        <v>529</v>
      </c>
      <c r="B271" t="s">
        <v>530</v>
      </c>
      <c r="K271" t="str" cm="1">
        <f t="array" ref="K271">INDEX(Tbl_Translations[[#This Row],[Language 1]:[Language 10]],IFERROR(MATCH(Introduction!$C$22,Tbl_Langauges[Language],0),1))</f>
        <v>Activity 4: why we use scatter charts</v>
      </c>
    </row>
    <row r="272" spans="1:11">
      <c r="A272" t="s">
        <v>531</v>
      </c>
      <c r="B272" t="s">
        <v>532</v>
      </c>
      <c r="K272" t="str" cm="1">
        <f t="array" ref="K272">INDEX(Tbl_Translations[[#This Row],[Language 1]:[Language 10]],IFERROR(MATCH(Introduction!$C$22,Tbl_Langauges[Language],0),1))</f>
        <v>Activity 5: why we use area charts</v>
      </c>
    </row>
    <row r="273" spans="1:11">
      <c r="A273" t="s">
        <v>533</v>
      </c>
      <c r="B273" t="s">
        <v>534</v>
      </c>
      <c r="K273" t="str" cm="1">
        <f t="array" ref="K273">INDEX(Tbl_Translations[[#This Row],[Language 1]:[Language 10]],IFERROR(MATCH(Introduction!$C$22,Tbl_Langauges[Language],0),1))</f>
        <v>When you successfully complete each activity, a green NEXT button will appear. Select it to move on to the next activity. Completion of all activities will earn you a Space Data Badge.</v>
      </c>
    </row>
    <row r="274" spans="1:11">
      <c r="A274" t="s">
        <v>535</v>
      </c>
      <c r="B274" t="s">
        <v>536</v>
      </c>
      <c r="K274" t="str" cm="1">
        <f t="array" ref="K274">INDEX(Tbl_Translations[[#This Row],[Language 1]:[Language 10]],IFERROR(MATCH(Introduction!$C$22,Tbl_Langauges[Language],0),1))</f>
        <v>Inside each activity you will find blue bordered boxes like this.  Select these to move through each of the activities.</v>
      </c>
    </row>
    <row r="275" spans="1:11">
      <c r="A275" t="s">
        <v>537</v>
      </c>
      <c r="B275" t="s">
        <v>538</v>
      </c>
      <c r="K275" t="str" cm="1">
        <f t="array" ref="K275">INDEX(Tbl_Translations[[#This Row],[Language 1]:[Language 10]],IFERROR(MATCH(Introduction!$C$22,Tbl_Langauges[Language],0),1))</f>
        <v>Teacher Lesson Plan – How Astronauts Visualize Data</v>
      </c>
    </row>
    <row r="276" spans="1:11">
      <c r="A276" t="s">
        <v>539</v>
      </c>
      <c r="B276" t="s">
        <v>540</v>
      </c>
      <c r="K276" t="str" cm="1">
        <f t="array" ref="K276">INDEX(Tbl_Translations[[#This Row],[Language 1]:[Language 10]],IFERROR(MATCH(Introduction!$C$22,Tbl_Langauges[Language],0),1))</f>
        <v>In this lesson, students explore the importance of data as it relates to our astronauts, our space missions, and our world. This self-paced Excel Online activity introduces students to visualizing data using charts. Students will work with a variety of data sets related to space and and investigate the types of charts that best help them analyze and understand the data. Complete the five mini-lessons to secure a Space Data Badge.</v>
      </c>
    </row>
    <row r="277" spans="1:11">
      <c r="A277" t="s">
        <v>541</v>
      </c>
      <c r="B277" t="s">
        <v>542</v>
      </c>
      <c r="K277" t="str" cm="1">
        <f t="array" ref="K277">INDEX(Tbl_Translations[[#This Row],[Language 1]:[Language 10]],IFERROR(MATCH(Introduction!$C$22,Tbl_Langauges[Language],0),1))</f>
        <v>Use different types of data visualizations to analyze and interpret information related to space.</v>
      </c>
    </row>
    <row r="278" spans="1:11">
      <c r="A278" t="s">
        <v>543</v>
      </c>
      <c r="B278" t="s">
        <v>544</v>
      </c>
      <c r="K278" t="str" cm="1">
        <f t="array" ref="K278">INDEX(Tbl_Translations[[#This Row],[Language 1]:[Language 10]],IFERROR(MATCH(Introduction!$C$22,Tbl_Langauges[Language],0),1))</f>
        <v>Open the How Astronauts Visualize Data workbook and familiarize yourself with how to use it by reading the information in the Contents worksheet of the workbook.</v>
      </c>
    </row>
    <row r="279" spans="1:11">
      <c r="A279" t="s">
        <v>545</v>
      </c>
      <c r="B279" t="s">
        <v>546</v>
      </c>
      <c r="K279" t="str" cm="1">
        <f t="array" ref="K279">INDEX(Tbl_Translations[[#This Row],[Language 1]:[Language 10]],IFERROR(MATCH(Introduction!$C$22,Tbl_Langauges[Language],0),1))</f>
        <v>Have students complete the Club for the Future lesson located in the Extensions worksheet of the How Astronauts Visualize Data Excel Online workbook.</v>
      </c>
    </row>
    <row r="280" spans="1:11">
      <c r="A280" t="s">
        <v>547</v>
      </c>
      <c r="B280" t="s">
        <v>548</v>
      </c>
      <c r="K280" t="str" cm="1">
        <f t="array" ref="K280">INDEX(Tbl_Translations[[#This Row],[Language 1]:[Language 10]],IFERROR(MATCH(Introduction!$C$22,Tbl_Langauges[Language],0),1))</f>
        <v>MS-ESS1-3. Analyze and interpret data to determine similarities and differences in findings.</v>
      </c>
    </row>
    <row r="281" spans="1:11">
      <c r="A281" t="s">
        <v>549</v>
      </c>
      <c r="B281" t="s">
        <v>550</v>
      </c>
      <c r="K281" t="str" cm="1">
        <f t="array" ref="K281">INDEX(Tbl_Translations[[#This Row],[Language 1]:[Language 10]],IFERROR(MATCH(Introduction!$C$22,Tbl_Langauges[Language],0),1))</f>
        <v>CCSS.MATH.CONTENT.7.RP.A.2</v>
      </c>
    </row>
    <row r="282" spans="1:11">
      <c r="A282" t="s">
        <v>551</v>
      </c>
      <c r="B282" t="s">
        <v>552</v>
      </c>
      <c r="K282" t="str" cm="1">
        <f t="array" ref="K282">INDEX(Tbl_Translations[[#This Row],[Language 1]:[Language 10]],IFERROR(MATCH(Introduction!$C$22,Tbl_Langauges[Language],0),1))</f>
        <v>Recognize and represent proportional relationships between quantities.</v>
      </c>
    </row>
    <row r="283" spans="1:11">
      <c r="A283" t="s">
        <v>553</v>
      </c>
      <c r="B283" t="s">
        <v>554</v>
      </c>
      <c r="K283" t="str" cm="1">
        <f t="array" ref="K283">INDEX(Tbl_Translations[[#This Row],[Language 1]:[Language 10]],IFERROR(MATCH(Introduction!$C$22,Tbl_Langauges[Language],0),1))</f>
        <v>Find the questions in column D.</v>
      </c>
    </row>
    <row r="284" spans="1:11">
      <c r="A284" t="s">
        <v>555</v>
      </c>
      <c r="B284" t="s">
        <v>556</v>
      </c>
      <c r="K284" t="str" cm="1">
        <f t="array" ref="K284">INDEX(Tbl_Translations[[#This Row],[Language 1]:[Language 10]],IFERROR(MATCH(Introduction!$C$22,Tbl_Langauges[Language],0),1))</f>
        <v>Please list four types of charts. Which of these charts is the most interesting to you? Explain why!</v>
      </c>
    </row>
    <row r="285" spans="1:11">
      <c r="A285" t="s">
        <v>557</v>
      </c>
      <c r="B285" t="s">
        <v>558</v>
      </c>
      <c r="K285" t="str" cm="1">
        <f t="array" ref="K285">INDEX(Tbl_Translations[[#This Row],[Language 1]:[Language 10]],IFERROR(MATCH(Introduction!$C$22,Tbl_Langauges[Language],0),1))</f>
        <v xml:space="preserve">Why do you think payloads of rockets are increasing in mass? </v>
      </c>
    </row>
    <row r="286" spans="1:11">
      <c r="A286" t="s">
        <v>559</v>
      </c>
      <c r="B286" t="s">
        <v>560</v>
      </c>
      <c r="K286" t="str" cm="1">
        <f t="array" ref="K286">INDEX(Tbl_Translations[[#This Row],[Language 1]:[Language 10]],IFERROR(MATCH(Introduction!$C$22,Tbl_Langauges[Language],0),1))</f>
        <v xml:space="preserve">What do you think are the best colors to use in a chart? Explain your answer. </v>
      </c>
    </row>
    <row r="287" spans="1:11">
      <c r="A287" t="s">
        <v>561</v>
      </c>
      <c r="B287" t="s">
        <v>562</v>
      </c>
      <c r="K287" t="str" cm="1">
        <f t="array" ref="K287">INDEX(Tbl_Translations[[#This Row],[Language 1]:[Language 10]],IFERROR(MATCH(Introduction!$C$22,Tbl_Langauges[Language],0),1))</f>
        <v>Why do you think it is important to be able to predict the future using data with trendlines? Give an example:</v>
      </c>
    </row>
    <row r="288" spans="1:11">
      <c r="A288" t="s">
        <v>563</v>
      </c>
      <c r="B288" t="s">
        <v>564</v>
      </c>
      <c r="K288" t="str" cm="1">
        <f t="array" ref="K288">INDEX(Tbl_Translations[[#This Row],[Language 1]:[Language 10]],IFERROR(MATCH(Introduction!$C$22,Tbl_Langauges[Language],0),1))</f>
        <v>What are the benefits of looking at the connections between multiple pieces of information at one time?</v>
      </c>
    </row>
    <row r="289" spans="1:11">
      <c r="A289" t="s">
        <v>565</v>
      </c>
      <c r="B289" t="s">
        <v>565</v>
      </c>
      <c r="K289" t="str" cm="1">
        <f t="array" ref="K289">INDEX(Tbl_Translations[[#This Row],[Language 1]:[Language 10]],IFERROR(MATCH(Introduction!$C$22,Tbl_Langauges[Language],0),1))</f>
        <v>Ariane 5 ECA</v>
      </c>
    </row>
    <row r="290" spans="1:11">
      <c r="A290" t="s">
        <v>566</v>
      </c>
      <c r="B290" t="s">
        <v>566</v>
      </c>
      <c r="K290" t="str" cm="1">
        <f t="array" ref="K290">INDEX(Tbl_Translations[[#This Row],[Language 1]:[Language 10]],IFERROR(MATCH(Introduction!$C$22,Tbl_Langauges[Language],0),1))</f>
        <v>Ariane 5G</v>
      </c>
    </row>
    <row r="291" spans="1:11">
      <c r="A291" t="s">
        <v>567</v>
      </c>
      <c r="B291" t="s">
        <v>567</v>
      </c>
      <c r="K291" t="str" cm="1">
        <f t="array" ref="K291">INDEX(Tbl_Translations[[#This Row],[Language 1]:[Language 10]],IFERROR(MATCH(Introduction!$C$22,Tbl_Langauges[Language],0),1))</f>
        <v>Atlas V 551</v>
      </c>
    </row>
    <row r="292" spans="1:11">
      <c r="A292" t="s">
        <v>568</v>
      </c>
      <c r="B292" t="s">
        <v>568</v>
      </c>
      <c r="K292" t="str" cm="1">
        <f t="array" ref="K292">INDEX(Tbl_Translations[[#This Row],[Language 1]:[Language 10]],IFERROR(MATCH(Introduction!$C$22,Tbl_Langauges[Language],0),1))</f>
        <v>Falcon 9</v>
      </c>
    </row>
    <row r="293" spans="1:11">
      <c r="A293" t="s">
        <v>569</v>
      </c>
      <c r="B293" t="s">
        <v>569</v>
      </c>
      <c r="K293" t="str" cm="1">
        <f t="array" ref="K293">INDEX(Tbl_Translations[[#This Row],[Language 1]:[Language 10]],IFERROR(MATCH(Introduction!$C$22,Tbl_Langauges[Language],0),1))</f>
        <v>H-IIA</v>
      </c>
    </row>
    <row r="294" spans="1:11">
      <c r="A294" t="s">
        <v>570</v>
      </c>
      <c r="B294" t="s">
        <v>570</v>
      </c>
      <c r="K294" t="str" cm="1">
        <f t="array" ref="K294">INDEX(Tbl_Translations[[#This Row],[Language 1]:[Language 10]],IFERROR(MATCH(Introduction!$C$22,Tbl_Langauges[Language],0),1))</f>
        <v>SLS</v>
      </c>
    </row>
    <row r="295" spans="1:11">
      <c r="A295" t="s">
        <v>571</v>
      </c>
      <c r="B295" t="s">
        <v>571</v>
      </c>
      <c r="K295" t="str" cm="1">
        <f t="array" ref="K295">INDEX(Tbl_Translations[[#This Row],[Language 1]:[Language 10]],IFERROR(MATCH(Introduction!$C$22,Tbl_Langauges[Language],0),1))</f>
        <v>Soyuz-2</v>
      </c>
    </row>
    <row r="296" spans="1:11">
      <c r="A296" t="s">
        <v>572</v>
      </c>
      <c r="B296" t="s">
        <v>573</v>
      </c>
      <c r="K296" t="str" cm="1">
        <f t="array" ref="K296">INDEX(Tbl_Translations[[#This Row],[Language 1]:[Language 10]],IFERROR(MATCH(Introduction!$C$22,Tbl_Langauges[Language],0),1))</f>
        <v>Year</v>
      </c>
    </row>
    <row r="297" spans="1:11">
      <c r="A297" t="s">
        <v>574</v>
      </c>
      <c r="B297" t="s">
        <v>575</v>
      </c>
      <c r="K297" t="str" cm="1">
        <f t="array" ref="K297">INDEX(Tbl_Translations[[#This Row],[Language 1]:[Language 10]],IFERROR(MATCH(Introduction!$C$22,Tbl_Langauges[Language],0),1))</f>
        <v>Launch Cost</v>
      </c>
    </row>
    <row r="298" spans="1:11">
      <c r="A298" t="s">
        <v>576</v>
      </c>
      <c r="B298" t="s">
        <v>577</v>
      </c>
      <c r="K298" t="str" cm="1">
        <f t="array" ref="K298">INDEX(Tbl_Translations[[#This Row],[Language 1]:[Language 10]],IFERROR(MATCH(Introduction!$C$22,Tbl_Langauges[Language],0),1))</f>
        <v>Payload</v>
      </c>
    </row>
    <row r="299" spans="1:11">
      <c r="A299" t="s">
        <v>578</v>
      </c>
      <c r="B299" t="s">
        <v>579</v>
      </c>
      <c r="K299" t="str" cm="1">
        <f t="array" ref="K299">INDEX(Tbl_Translations[[#This Row],[Language 1]:[Language 10]],IFERROR(MATCH(Introduction!$C$22,Tbl_Langauges[Language],0),1))</f>
        <v>Dry mass</v>
      </c>
    </row>
    <row r="300" spans="1:11">
      <c r="A300" t="s">
        <v>580</v>
      </c>
      <c r="B300" t="s">
        <v>581</v>
      </c>
      <c r="K300" t="str" cm="1">
        <f t="array" ref="K300">INDEX(Tbl_Translations[[#This Row],[Language 1]:[Language 10]],IFERROR(MATCH(Introduction!$C$22,Tbl_Langauges[Language],0),1))</f>
        <v>Propellant</v>
      </c>
    </row>
    <row r="301" spans="1:11">
      <c r="A301" t="s">
        <v>582</v>
      </c>
      <c r="B301" t="s">
        <v>582</v>
      </c>
      <c r="K301" t="str" cm="1">
        <f t="array" ref="K301">INDEX(Tbl_Translations[[#This Row],[Language 1]:[Language 10]],IFERROR(MATCH(Introduction!$C$22,Tbl_Langauges[Language],0),1))</f>
        <v>$/kg</v>
      </c>
    </row>
    <row r="302" spans="1:11">
      <c r="A302" t="s">
        <v>583</v>
      </c>
      <c r="B302" t="s">
        <v>584</v>
      </c>
      <c r="K302" t="str" cm="1">
        <f t="array" ref="K302">INDEX(Tbl_Translations[[#This Row],[Language 1]:[Language 10]],IFERROR(MATCH(Introduction!$C$22,Tbl_Langauges[Language],0),1))</f>
        <v>Payload-dry mass</v>
      </c>
    </row>
    <row r="303" spans="1:11">
      <c r="A303" t="s">
        <v>585</v>
      </c>
      <c r="B303" t="s">
        <v>586</v>
      </c>
      <c r="K303" t="str" cm="1">
        <f t="array" ref="K303">INDEX(Tbl_Translations[[#This Row],[Language 1]:[Language 10]],IFERROR(MATCH(Introduction!$C$22,Tbl_Langauges[Language],0),1))</f>
        <v>Payload (kg)</v>
      </c>
    </row>
    <row r="304" spans="1:11">
      <c r="A304" t="s">
        <v>587</v>
      </c>
      <c r="B304" t="s">
        <v>588</v>
      </c>
      <c r="K304" t="str" cm="1">
        <f t="array" ref="K304">INDEX(Tbl_Translations[[#This Row],[Language 1]:[Language 10]],IFERROR(MATCH(Introduction!$C$22,Tbl_Langauges[Language],0),1))</f>
        <v>Dry mass (kg)</v>
      </c>
    </row>
    <row r="305" spans="1:11">
      <c r="A305" t="s">
        <v>589</v>
      </c>
      <c r="B305" t="s">
        <v>590</v>
      </c>
      <c r="K305" t="str" cm="1">
        <f t="array" ref="K305">INDEX(Tbl_Translations[[#This Row],[Language 1]:[Language 10]],IFERROR(MATCH(Introduction!$C$22,Tbl_Langauges[Language],0),1))</f>
        <v>Fuel (kg)</v>
      </c>
    </row>
    <row r="306" spans="1:11">
      <c r="A306" t="s">
        <v>591</v>
      </c>
      <c r="B306" t="s">
        <v>592</v>
      </c>
      <c r="K306" t="str" cm="1">
        <f t="array" ref="K306">INDEX(Tbl_Translations[[#This Row],[Language 1]:[Language 10]],IFERROR(MATCH(Introduction!$C$22,Tbl_Langauges[Language],0),1))</f>
        <v>What is a column chart?</v>
      </c>
    </row>
    <row r="307" spans="1:11">
      <c r="A307" t="s">
        <v>593</v>
      </c>
      <c r="B307" t="s">
        <v>594</v>
      </c>
      <c r="K307" t="str" cm="1">
        <f t="array" ref="K307">INDEX(Tbl_Translations[[#This Row],[Language 1]:[Language 10]],IFERROR(MATCH(Introduction!$C$22,Tbl_Langauges[Language],0),1))</f>
        <v>What is rocket payload?</v>
      </c>
    </row>
    <row r="308" spans="1:11">
      <c r="A308" t="s">
        <v>595</v>
      </c>
      <c r="B308" t="s">
        <v>596</v>
      </c>
      <c r="K308" t="str" cm="1">
        <f t="array" ref="K308">INDEX(Tbl_Translations[[#This Row],[Language 1]:[Language 10]],IFERROR(MATCH(Introduction!$C$22,Tbl_Langauges[Language],0),1))</f>
        <v>Organizing your chart</v>
      </c>
    </row>
    <row r="309" spans="1:11">
      <c r="A309" t="s">
        <v>597</v>
      </c>
      <c r="B309" t="s">
        <v>598</v>
      </c>
      <c r="K309" t="str" cm="1">
        <f t="array" ref="K309">INDEX(Tbl_Translations[[#This Row],[Language 1]:[Language 10]],IFERROR(MATCH(Introduction!$C$22,Tbl_Langauges[Language],0),1))</f>
        <v>Text1</v>
      </c>
    </row>
    <row r="310" spans="1:11">
      <c r="A310" t="s">
        <v>599</v>
      </c>
      <c r="B310" t="s">
        <v>600</v>
      </c>
      <c r="K310" t="str" cm="1">
        <f t="array" ref="K310">INDEX(Tbl_Translations[[#This Row],[Language 1]:[Language 10]],IFERROR(MATCH(Introduction!$C$22,Tbl_Langauges[Language],0),1))</f>
        <v>A column chart is a way to visualize data that uses the size of vertical bars to quickly show a value. The brain can interpret differences in sizes faster than in numbers, and a column chart utilizes this to great effect.</v>
      </c>
    </row>
    <row r="311" spans="1:11">
      <c r="A311" t="s">
        <v>601</v>
      </c>
      <c r="B311" t="s">
        <v>602</v>
      </c>
      <c r="K311" t="str" cm="1">
        <f t="array" ref="K311">INDEX(Tbl_Translations[[#This Row],[Language 1]:[Language 10]],IFERROR(MATCH(Introduction!$C$22,Tbl_Langauges[Language],0),1))</f>
        <v>The crew and/ or cargo that is carried into space by a rocket is called the payload. Here you can compare the differences in payload mass for 9 different rockets.</v>
      </c>
    </row>
    <row r="312" spans="1:11">
      <c r="A312" t="s">
        <v>603</v>
      </c>
      <c r="B312" t="s">
        <v>604</v>
      </c>
      <c r="K312" t="str" cm="1">
        <f t="array" ref="K312">INDEX(Tbl_Translations[[#This Row],[Language 1]:[Language 10]],IFERROR(MATCH(Introduction!$C$22,Tbl_Langauges[Language],0),1))</f>
        <v>Charts are made from data in the table. You can rearrange the chart by SORTING your data, using the small gray "filter" button in the column heading. Sort the Launch Year in ASCENDING order (smallest to largest) to see how it changes the chart!</v>
      </c>
    </row>
    <row r="313" spans="1:11">
      <c r="A313" t="s">
        <v>605</v>
      </c>
      <c r="B313" t="s">
        <v>606</v>
      </c>
      <c r="K313" t="str" cm="1">
        <f t="array" ref="K313">INDEX(Tbl_Translations[[#This Row],[Language 1]:[Language 10]],IFERROR(MATCH(Introduction!$C$22,Tbl_Langauges[Language],0),1))</f>
        <v>Text2</v>
      </c>
    </row>
    <row r="314" spans="1:11">
      <c r="A314" t="s">
        <v>607</v>
      </c>
      <c r="B314" t="s">
        <v>608</v>
      </c>
      <c r="K314" t="str" cm="1">
        <f t="array" ref="K314">INDEX(Tbl_Translations[[#This Row],[Language 1]:[Language 10]],IFERROR(MATCH(Introduction!$C$22,Tbl_Langauges[Language],0),1))</f>
        <v>A column chart is a way to visualize data that uses the size of boxes to quickly show a value. The data on this chart is simply a visualization of the table below it, but shown in a way that is easier for a person to interpret.</v>
      </c>
    </row>
    <row r="315" spans="1:11">
      <c r="A315" t="s">
        <v>609</v>
      </c>
      <c r="B315" t="s">
        <v>610</v>
      </c>
      <c r="K315" t="str" cm="1">
        <f t="array" ref="K315">INDEX(Tbl_Translations[[#This Row],[Language 1]:[Language 10]],IFERROR(MATCH(Introduction!$C$22,Tbl_Langauges[Language],0),1))</f>
        <v xml:space="preserve">A payload for a rocket is the cargo, crew, or other objects carried to space. </v>
      </c>
    </row>
    <row r="316" spans="1:11">
      <c r="A316" t="s">
        <v>611</v>
      </c>
      <c r="B316" t="s">
        <v>612</v>
      </c>
      <c r="K316" t="str" cm="1">
        <f t="array" ref="K316">INDEX(Tbl_Translations[[#This Row],[Language 1]:[Language 10]],IFERROR(MATCH(Introduction!$C$22,Tbl_Langauges[Language],0),1))</f>
        <v>What is a stacked column chart?</v>
      </c>
    </row>
    <row r="317" spans="1:11">
      <c r="A317" t="s">
        <v>613</v>
      </c>
      <c r="B317" t="s">
        <v>614</v>
      </c>
      <c r="K317" t="str" cm="1">
        <f t="array" ref="K317">INDEX(Tbl_Translations[[#This Row],[Language 1]:[Language 10]],IFERROR(MATCH(Introduction!$C$22,Tbl_Langauges[Language],0),1))</f>
        <v>Rocket mass proportions</v>
      </c>
    </row>
    <row r="318" spans="1:11">
      <c r="A318" t="s">
        <v>615</v>
      </c>
      <c r="B318" t="s">
        <v>616</v>
      </c>
      <c r="K318" t="str" cm="1">
        <f t="array" ref="K318">INDEX(Tbl_Translations[[#This Row],[Language 1]:[Language 10]],IFERROR(MATCH(Introduction!$C$22,Tbl_Langauges[Language],0),1))</f>
        <v>Payload-structure comparison</v>
      </c>
    </row>
    <row r="319" spans="1:11">
      <c r="A319" t="s">
        <v>617</v>
      </c>
      <c r="B319" t="s">
        <v>618</v>
      </c>
      <c r="K319" t="str" cm="1">
        <f t="array" ref="K319">INDEX(Tbl_Translations[[#This Row],[Language 1]:[Language 10]],IFERROR(MATCH(Introduction!$C$22,Tbl_Langauges[Language],0),1))</f>
        <v>A stacked column chart allows proportional comparisons between items by adding COLOR. Each colored section in a column represents a percentage of the total being measured.</v>
      </c>
    </row>
    <row r="320" spans="1:11">
      <c r="A320" t="s">
        <v>619</v>
      </c>
      <c r="B320" t="s">
        <v>620</v>
      </c>
      <c r="K320" t="str" cm="1">
        <f t="array" ref="K320">INDEX(Tbl_Translations[[#This Row],[Language 1]:[Language 10]],IFERROR(MATCH(Introduction!$C$22,Tbl_Langauges[Language],0),1))</f>
        <v>The total mass of a rocket can be divided into three categories; fuel, structure and payload. As you can see, the largest proportion of a rocket's mass is fuel, followed by its structure and then payload.</v>
      </c>
    </row>
    <row r="321" spans="1:11">
      <c r="A321" t="s">
        <v>621</v>
      </c>
      <c r="B321" t="s">
        <v>622</v>
      </c>
      <c r="K321" t="str" cm="1">
        <f t="array" ref="K321">INDEX(Tbl_Translations[[#This Row],[Language 1]:[Language 10]],IFERROR(MATCH(Introduction!$C$22,Tbl_Langauges[Language],0),1))</f>
        <v>In this chart, we have removed the fuel mass category to compare only the rocket structure and payload masses. Sort the launch year category in ASCENDING order. Notice how the proportions change over time.</v>
      </c>
    </row>
    <row r="322" spans="1:11">
      <c r="A322" t="s">
        <v>623</v>
      </c>
      <c r="B322" t="s">
        <v>624</v>
      </c>
      <c r="K322" t="str" cm="1">
        <f t="array" ref="K322">INDEX(Tbl_Translations[[#This Row],[Language 1]:[Language 10]],IFERROR(MATCH(Introduction!$C$22,Tbl_Langauges[Language],0),1))</f>
        <v>What is a scatter chart?</v>
      </c>
    </row>
    <row r="323" spans="1:11">
      <c r="A323" t="s">
        <v>625</v>
      </c>
      <c r="B323" t="s">
        <v>626</v>
      </c>
      <c r="K323" t="str" cm="1">
        <f t="array" ref="K323">INDEX(Tbl_Translations[[#This Row],[Language 1]:[Language 10]],IFERROR(MATCH(Introduction!$C$22,Tbl_Langauges[Language],0),1))</f>
        <v>Using trendlines</v>
      </c>
    </row>
    <row r="324" spans="1:11">
      <c r="A324" t="s">
        <v>627</v>
      </c>
      <c r="B324" t="s">
        <v>628</v>
      </c>
      <c r="K324" t="str" cm="1">
        <f t="array" ref="K324">INDEX(Tbl_Translations[[#This Row],[Language 1]:[Language 10]],IFERROR(MATCH(Introduction!$C$22,Tbl_Langauges[Language],0),1))</f>
        <v>Forecasting</v>
      </c>
    </row>
    <row r="325" spans="1:11">
      <c r="A325" t="s">
        <v>629</v>
      </c>
      <c r="B325" t="s">
        <v>630</v>
      </c>
      <c r="K325" t="str" cm="1">
        <f t="array" ref="K325">INDEX(Tbl_Translations[[#This Row],[Language 1]:[Language 10]],IFERROR(MATCH(Introduction!$C$22,Tbl_Langauges[Language],0),1))</f>
        <v>Scatter charts allow for patterns in the data to be visualized. With each dot representing the POSITION of  each data point, trends can be found and used to predict future outcomes!</v>
      </c>
    </row>
    <row r="326" spans="1:11">
      <c r="A326" t="s">
        <v>631</v>
      </c>
      <c r="B326" t="s">
        <v>632</v>
      </c>
      <c r="K326" t="str" cm="1">
        <f t="array" ref="K326">INDEX(Tbl_Translations[[#This Row],[Language 1]:[Language 10]],IFERROR(MATCH(Introduction!$C$22,Tbl_Langauges[Language],0),1))</f>
        <v>A key method to see patterns in a scatter plot is to use a TRENDLINE. A trendline is line that "best fits" between all of the points on the chart. Look how this linear best fit trendline is lined up along the points revealing a relationship between year and cost!</v>
      </c>
    </row>
    <row r="327" spans="1:11">
      <c r="A327" t="s">
        <v>633</v>
      </c>
      <c r="B327" t="s">
        <v>634</v>
      </c>
      <c r="K327" t="str" cm="1">
        <f t="array" ref="K327">INDEX(Tbl_Translations[[#This Row],[Language 1]:[Language 10]],IFERROR(MATCH(Introduction!$C$22,Tbl_Langauges[Language],0),1))</f>
        <v>Once your chart has a trendline, you can use it to 'forecast' (or predict) that pattern into the future. Forecasting can also help see if the pattern makes sense going forward.</v>
      </c>
    </row>
    <row r="328" spans="1:11">
      <c r="A328" t="s">
        <v>635</v>
      </c>
      <c r="B328" t="s">
        <v>636</v>
      </c>
      <c r="K328" t="str" cm="1">
        <f t="array" ref="K328">INDEX(Tbl_Translations[[#This Row],[Language 1]:[Language 10]],IFERROR(MATCH(Introduction!$C$22,Tbl_Langauges[Language],0),1))</f>
        <v>What is a chart?</v>
      </c>
    </row>
    <row r="329" spans="1:11">
      <c r="A329" t="s">
        <v>637</v>
      </c>
      <c r="B329" t="s">
        <v>638</v>
      </c>
      <c r="K329" t="str" cm="1">
        <f t="array" ref="K329">INDEX(Tbl_Translations[[#This Row],[Language 1]:[Language 10]],IFERROR(MATCH(Introduction!$C$22,Tbl_Langauges[Language],0),1))</f>
        <v>Column charts</v>
      </c>
    </row>
    <row r="330" spans="1:11">
      <c r="A330" t="s">
        <v>639</v>
      </c>
      <c r="B330" t="s">
        <v>640</v>
      </c>
      <c r="K330" t="str" cm="1">
        <f t="array" ref="K330">INDEX(Tbl_Translations[[#This Row],[Language 1]:[Language 10]],IFERROR(MATCH(Introduction!$C$22,Tbl_Langauges[Language],0),1))</f>
        <v>100% stacked column charts</v>
      </c>
    </row>
    <row r="331" spans="1:11">
      <c r="A331" t="s">
        <v>641</v>
      </c>
      <c r="B331" t="s">
        <v>642</v>
      </c>
      <c r="K331" t="str" cm="1">
        <f t="array" ref="K331">INDEX(Tbl_Translations[[#This Row],[Language 1]:[Language 10]],IFERROR(MATCH(Introduction!$C$22,Tbl_Langauges[Language],0),1))</f>
        <v>Scatter charts</v>
      </c>
    </row>
    <row r="332" spans="1:11">
      <c r="A332" t="s">
        <v>643</v>
      </c>
      <c r="B332" t="s">
        <v>644</v>
      </c>
      <c r="K332" t="str" cm="1">
        <f t="array" ref="K332">INDEX(Tbl_Translations[[#This Row],[Language 1]:[Language 10]],IFERROR(MATCH(Introduction!$C$22,Tbl_Langauges[Language],0),1))</f>
        <v>Stacked area charts</v>
      </c>
    </row>
    <row r="333" spans="1:11">
      <c r="A333" t="s">
        <v>645</v>
      </c>
      <c r="B333" t="s">
        <v>646</v>
      </c>
      <c r="K333" t="str" cm="1">
        <f t="array" ref="K333">INDEX(Tbl_Translations[[#This Row],[Language 1]:[Language 10]],IFERROR(MATCH(Introduction!$C$22,Tbl_Langauges[Language],0),1))</f>
        <v>A chart is a visual representation of data from a worksheet that can help you understand more from the data than just using numbers.</v>
      </c>
    </row>
    <row r="334" spans="1:11">
      <c r="A334" t="s">
        <v>647</v>
      </c>
      <c r="B334" t="s">
        <v>648</v>
      </c>
      <c r="K334" t="str" cm="1">
        <f t="array" ref="K334">INDEX(Tbl_Translations[[#This Row],[Language 1]:[Language 10]],IFERROR(MATCH(Introduction!$C$22,Tbl_Langauges[Language],0),1))</f>
        <v>Data that is arranged in columns or rows on a worksheet can be organized in a column chart. These charts are helpful when comparing categories (typically text names) by their value.</v>
      </c>
    </row>
    <row r="335" spans="1:11">
      <c r="A335" t="s">
        <v>649</v>
      </c>
      <c r="B335" t="s">
        <v>648</v>
      </c>
      <c r="K335" t="str" cm="1">
        <f t="array" ref="K335">INDEX(Tbl_Translations[[#This Row],[Language 1]:[Language 10]],IFERROR(MATCH(Introduction!$C$22,Tbl_Langauges[Language],0),1))</f>
        <v>A 100% stacked column chart shows values in columns that are stacked on top of each other to represent 100%. Use this chart when you want to compare the contributions to the whole, such as sections of a rocket!</v>
      </c>
    </row>
    <row r="336" spans="1:11">
      <c r="A336" t="s">
        <v>650</v>
      </c>
      <c r="B336" t="s">
        <v>651</v>
      </c>
      <c r="K336" t="str" cm="1">
        <f t="array" ref="K336">INDEX(Tbl_Translations[[#This Row],[Language 1]:[Language 10]],IFERROR(MATCH(Introduction!$C$22,Tbl_Langauges[Language],0),1))</f>
        <v>A scatter chart is handy when you have two sets of value data and you are curious what trends there are between them. These trends can help predict future data as well.</v>
      </c>
    </row>
    <row r="337" spans="1:11">
      <c r="A337" t="s">
        <v>652</v>
      </c>
      <c r="B337" t="s">
        <v>653</v>
      </c>
      <c r="K337" t="str" cm="1">
        <f t="array" ref="K337">INDEX(Tbl_Translations[[#This Row],[Language 1]:[Language 10]],IFERROR(MATCH(Introduction!$C$22,Tbl_Langauges[Language],0),1))</f>
        <v>Stacked area charts show patterns in the contribution of each value over time (or other category), which helps you tell how the different categories change!</v>
      </c>
    </row>
    <row r="338" spans="1:11">
      <c r="A338" t="s">
        <v>654</v>
      </c>
      <c r="B338" t="s">
        <v>655</v>
      </c>
      <c r="K338" t="str" cm="1">
        <f t="array" ref="K338">INDEX(Tbl_Translations[[#This Row],[Language 1]:[Language 10]],IFERROR(MATCH(Introduction!$C$22,Tbl_Langauges[Language],0),1))</f>
        <v>Excel has a wide variety of charts that can be used to generate insights.</v>
      </c>
    </row>
    <row r="339" spans="1:11">
      <c r="A339" t="s">
        <v>656</v>
      </c>
      <c r="B339" t="s">
        <v>657</v>
      </c>
      <c r="K339" t="str" cm="1">
        <f t="array" ref="K339">INDEX(Tbl_Translations[[#This Row],[Language 1]:[Language 10]],IFERROR(MATCH(Introduction!$C$22,Tbl_Langauges[Language],0),1))</f>
        <v>SIZE tells the story with column charts. Notice how it is labeled. Names and values indicate what the data is, while the axis and chart titles provide context.</v>
      </c>
    </row>
    <row r="340" spans="1:11">
      <c r="A340" t="s">
        <v>658</v>
      </c>
      <c r="B340" t="s">
        <v>659</v>
      </c>
      <c r="K340" t="str" cm="1">
        <f t="array" ref="K340">INDEX(Tbl_Translations[[#This Row],[Language 1]:[Language 10]],IFERROR(MATCH(Introduction!$C$22,Tbl_Langauges[Language],0),1))</f>
        <v>Notice how this column chart introduces COLOR. While it has the same x axis, it adds color to represent different componets. The legend is used to show what the colors represent.</v>
      </c>
    </row>
    <row r="341" spans="1:11">
      <c r="A341" t="s">
        <v>660</v>
      </c>
      <c r="B341" t="s">
        <v>661</v>
      </c>
      <c r="K341" t="str" cm="1">
        <f t="array" ref="K341">INDEX(Tbl_Translations[[#This Row],[Language 1]:[Language 10]],IFERROR(MATCH(Introduction!$C$22,Tbl_Langauges[Language],0),1))</f>
        <v>Notice how a scatter chart has two value axes: a horizontal x-axis (Year) and a vertical y-axis (Cost). It combines those x and y POSITIONS into points, which can then be used to find patterns, or 'relationships'.</v>
      </c>
    </row>
    <row r="342" spans="1:11">
      <c r="A342" t="s">
        <v>662</v>
      </c>
      <c r="B342" t="s">
        <v>663</v>
      </c>
      <c r="K342" t="str" cm="1">
        <f t="array" ref="K342">INDEX(Tbl_Translations[[#This Row],[Language 1]:[Language 10]],IFERROR(MATCH(Introduction!$C$22,Tbl_Langauges[Language],0),1))</f>
        <v>Notice how SIZE, COLOR, AND POSITION all play a role in the stacked area chart. Color separates the who area into different pieces, with vertical size showing the 'value' while the horizontal position indicates the timeframe.</v>
      </c>
    </row>
    <row r="343" spans="1:11">
      <c r="A343" t="s">
        <v>664</v>
      </c>
      <c r="B343" t="s">
        <v>665</v>
      </c>
      <c r="K343" t="str" cm="1">
        <f t="array" ref="K343">INDEX(Tbl_Translations[[#This Row],[Language 1]:[Language 10]],IFERROR(MATCH(Introduction!$C$22,Tbl_Langauges[Language],0),1))</f>
        <v>The vertical axis shows the value of the data through SIZE.</v>
      </c>
    </row>
    <row r="344" spans="1:11">
      <c r="A344" t="s">
        <v>666</v>
      </c>
      <c r="B344" t="s">
        <v>667</v>
      </c>
      <c r="K344" t="str" cm="1">
        <f t="array" ref="K344">INDEX(Tbl_Translations[[#This Row],[Language 1]:[Language 10]],IFERROR(MATCH(Introduction!$C$22,Tbl_Langauges[Language],0),1))</f>
        <v>The vertical axis shows proportion with different COLOR segments.</v>
      </c>
    </row>
    <row r="345" spans="1:11">
      <c r="A345" t="s">
        <v>668</v>
      </c>
      <c r="B345" t="s">
        <v>669</v>
      </c>
      <c r="K345" t="str" cm="1">
        <f t="array" ref="K345">INDEX(Tbl_Translations[[#This Row],[Language 1]:[Language 10]],IFERROR(MATCH(Introduction!$C$22,Tbl_Langauges[Language],0),1))</f>
        <v>The vertical axis shows the POSITION of the values on the y-axis.</v>
      </c>
    </row>
    <row r="346" spans="1:11">
      <c r="A346" t="s">
        <v>670</v>
      </c>
      <c r="B346" t="s">
        <v>671</v>
      </c>
      <c r="K346" t="str" cm="1">
        <f t="array" ref="K346">INDEX(Tbl_Translations[[#This Row],[Language 1]:[Language 10]],IFERROR(MATCH(Introduction!$C$22,Tbl_Langauges[Language],0),1))</f>
        <v>The vertical axis shows the SIZE of the values, with the categories separated by COLOR.</v>
      </c>
    </row>
    <row r="347" spans="1:11">
      <c r="A347" t="s">
        <v>672</v>
      </c>
      <c r="B347" t="s">
        <v>673</v>
      </c>
      <c r="K347" t="str" cm="1">
        <f t="array" ref="K347">INDEX(Tbl_Translations[[#This Row],[Language 1]:[Language 10]],IFERROR(MATCH(Introduction!$C$22,Tbl_Langauges[Language],0),1))</f>
        <v>The horizontal axis separates the values by their category.</v>
      </c>
    </row>
    <row r="348" spans="1:11">
      <c r="A348" t="s">
        <v>674</v>
      </c>
      <c r="B348" t="s">
        <v>675</v>
      </c>
      <c r="K348" t="str" cm="1">
        <f t="array" ref="K348">INDEX(Tbl_Translations[[#This Row],[Language 1]:[Language 10]],IFERROR(MATCH(Introduction!$C$22,Tbl_Langauges[Language],0),1))</f>
        <v>The horizontal axis shows the POSITION of the values on the x-axis.</v>
      </c>
    </row>
    <row r="349" spans="1:11">
      <c r="A349" t="s">
        <v>676</v>
      </c>
      <c r="B349" t="s">
        <v>677</v>
      </c>
      <c r="K349" t="str" cm="1">
        <f t="array" ref="K349">INDEX(Tbl_Translations[[#This Row],[Language 1]:[Language 10]],IFERROR(MATCH(Introduction!$C$22,Tbl_Langauges[Language],0),1))</f>
        <v>The horizontal axis shows the categories or the POSITION of the time values.</v>
      </c>
    </row>
    <row r="350" spans="1:11">
      <c r="A350" t="s">
        <v>678</v>
      </c>
      <c r="B350" t="s">
        <v>679</v>
      </c>
      <c r="K350" t="str" cm="1">
        <f t="array" ref="K350">INDEX(Tbl_Translations[[#This Row],[Language 1]:[Language 10]],IFERROR(MATCH(Introduction!$C$22,Tbl_Langauges[Language],0),1))</f>
        <v>Earth Orbit</v>
      </c>
    </row>
    <row r="351" spans="1:11">
      <c r="A351" t="s">
        <v>680</v>
      </c>
      <c r="B351" t="s">
        <v>681</v>
      </c>
      <c r="K351" t="str" cm="1">
        <f t="array" ref="K351">INDEX(Tbl_Translations[[#This Row],[Language 1]:[Language 10]],IFERROR(MATCH(Introduction!$C$22,Tbl_Langauges[Language],0),1))</f>
        <v>Lunar Mission</v>
      </c>
    </row>
    <row r="352" spans="1:11">
      <c r="A352" t="s">
        <v>682</v>
      </c>
      <c r="B352" t="s">
        <v>683</v>
      </c>
      <c r="K352" t="str" cm="1">
        <f t="array" ref="K352">INDEX(Tbl_Translations[[#This Row],[Language 1]:[Language 10]],IFERROR(MATCH(Introduction!$C$22,Tbl_Langauges[Language],0),1))</f>
        <v>Other Space Station</v>
      </c>
    </row>
    <row r="353" spans="1:11">
      <c r="A353" t="s">
        <v>684</v>
      </c>
      <c r="B353" t="s">
        <v>685</v>
      </c>
      <c r="K353" t="str" cm="1">
        <f t="array" ref="K353">INDEX(Tbl_Translations[[#This Row],[Language 1]:[Language 10]],IFERROR(MATCH(Introduction!$C$22,Tbl_Langauges[Language],0),1))</f>
        <v>Mir Space Station</v>
      </c>
    </row>
    <row r="354" spans="1:11">
      <c r="A354" t="s">
        <v>686</v>
      </c>
      <c r="B354" t="s">
        <v>687</v>
      </c>
      <c r="K354" t="str" cm="1">
        <f t="array" ref="K354">INDEX(Tbl_Translations[[#This Row],[Language 1]:[Language 10]],IFERROR(MATCH(Introduction!$C$22,Tbl_Langauges[Language],0),1))</f>
        <v>International Space Station</v>
      </c>
    </row>
    <row r="355" spans="1:11">
      <c r="A355" t="s">
        <v>688</v>
      </c>
      <c r="B355" t="s">
        <v>689</v>
      </c>
      <c r="K355" t="str" cm="1">
        <f t="array" ref="K355">INDEX(Tbl_Translations[[#This Row],[Language 1]:[Language 10]],IFERROR(MATCH(Introduction!$C$22,Tbl_Langauges[Language],0),1))</f>
        <v>What is an area chart?</v>
      </c>
    </row>
    <row r="356" spans="1:11">
      <c r="A356" t="s">
        <v>690</v>
      </c>
      <c r="B356" t="s">
        <v>691</v>
      </c>
      <c r="K356" t="str" cm="1">
        <f t="array" ref="K356">INDEX(Tbl_Translations[[#This Row],[Language 1]:[Language 10]],IFERROR(MATCH(Introduction!$C$22,Tbl_Langauges[Language],0),1))</f>
        <v>Visualizing with area</v>
      </c>
    </row>
    <row r="357" spans="1:11">
      <c r="A357" t="s">
        <v>692</v>
      </c>
      <c r="B357" t="s">
        <v>693</v>
      </c>
      <c r="K357" t="str" cm="1">
        <f t="array" ref="K357">INDEX(Tbl_Translations[[#This Row],[Language 1]:[Language 10]],IFERROR(MATCH(Introduction!$C$22,Tbl_Langauges[Language],0),1))</f>
        <v>Crewed missions</v>
      </c>
    </row>
    <row r="358" spans="1:11">
      <c r="A358" t="s">
        <v>694</v>
      </c>
      <c r="B358" t="s">
        <v>695</v>
      </c>
      <c r="K358" t="str" cm="1">
        <f t="array" ref="K358">INDEX(Tbl_Translations[[#This Row],[Language 1]:[Language 10]],IFERROR(MATCH(Introduction!$C$22,Tbl_Langauges[Language],0),1))</f>
        <v>Stacking with color</v>
      </c>
    </row>
    <row r="359" spans="1:11">
      <c r="A359" t="s">
        <v>696</v>
      </c>
      <c r="B359" t="s">
        <v>697</v>
      </c>
      <c r="K359" t="str" cm="1">
        <f t="array" ref="K359">INDEX(Tbl_Translations[[#This Row],[Language 1]:[Language 10]],IFERROR(MATCH(Introduction!$C$22,Tbl_Langauges[Language],0),1))</f>
        <v>Where have we gone?</v>
      </c>
    </row>
    <row r="360" spans="1:11">
      <c r="A360" t="s">
        <v>698</v>
      </c>
      <c r="B360" t="s">
        <v>699</v>
      </c>
      <c r="K360" t="str" cm="1">
        <f t="array" ref="K360">INDEX(Tbl_Translations[[#This Row],[Language 1]:[Language 10]],IFERROR(MATCH(Introduction!$C$22,Tbl_Langauges[Language],0),1))</f>
        <v>People Sent to Space</v>
      </c>
    </row>
    <row r="361" spans="1:11">
      <c r="A361" t="s">
        <v>700</v>
      </c>
      <c r="B361" t="s">
        <v>701</v>
      </c>
      <c r="K361" t="str" cm="1">
        <f t="array" ref="K361">INDEX(Tbl_Translations[[#This Row],[Language 1]:[Language 10]],IFERROR(MATCH(Introduction!$C$22,Tbl_Langauges[Language],0),1))</f>
        <v>Time in Space</v>
      </c>
    </row>
    <row r="362" spans="1:11">
      <c r="A362" t="s">
        <v>702</v>
      </c>
      <c r="B362" t="s">
        <v>703</v>
      </c>
      <c r="K362" t="str" cm="1">
        <f t="array" ref="K362">INDEX(Tbl_Translations[[#This Row],[Language 1]:[Language 10]],IFERROR(MATCH(Introduction!$C$22,Tbl_Langauges[Language],0),1))</f>
        <v>Area chart</v>
      </c>
    </row>
    <row r="363" spans="1:11">
      <c r="A363" t="s">
        <v>704</v>
      </c>
      <c r="B363" t="s">
        <v>705</v>
      </c>
      <c r="K363" t="str" cm="1">
        <f t="array" ref="K363">INDEX(Tbl_Translations[[#This Row],[Language 1]:[Language 10]],IFERROR(MATCH(Introduction!$C$22,Tbl_Langauges[Language],0),1))</f>
        <v>Crewed missions to space</v>
      </c>
    </row>
    <row r="364" spans="1:11">
      <c r="A364" t="s">
        <v>706</v>
      </c>
      <c r="B364" t="s">
        <v>707</v>
      </c>
      <c r="K364" t="str" cm="1">
        <f t="array" ref="K364">INDEX(Tbl_Translations[[#This Row],[Language 1]:[Language 10]],IFERROR(MATCH(Introduction!$C$22,Tbl_Langauges[Language],0),1))</f>
        <v>Stacked area chart</v>
      </c>
    </row>
    <row r="365" spans="1:11">
      <c r="A365" t="s">
        <v>708</v>
      </c>
      <c r="B365" t="s">
        <v>709</v>
      </c>
      <c r="K365" t="str" cm="1">
        <f t="array" ref="K365">INDEX(Tbl_Translations[[#This Row],[Language 1]:[Language 10]],IFERROR(MATCH(Introduction!$C$22,Tbl_Langauges[Language],0),1))</f>
        <v>The goal of an area chart, like the one seen here, is to show the change over time of a set of data. It takes visualization features found in both column and scatter charts to illustrate data in a new manner.</v>
      </c>
    </row>
    <row r="366" spans="1:11">
      <c r="A366" t="s">
        <v>710</v>
      </c>
      <c r="B366" t="s">
        <v>711</v>
      </c>
      <c r="K366" t="str" cm="1">
        <f t="array" ref="K366">INDEX(Tbl_Translations[[#This Row],[Language 1]:[Language 10]],IFERROR(MATCH(Introduction!$C$22,Tbl_Langauges[Language],0),1))</f>
        <v>While column charts primarily show the data through SIZE, and scatter charts through differences in POSITION, an area chart combines the two illustrating how the SIZE of the shaded area changes with POSITION.</v>
      </c>
    </row>
    <row r="367" spans="1:11">
      <c r="A367" t="s">
        <v>712</v>
      </c>
      <c r="B367" t="s">
        <v>713</v>
      </c>
      <c r="K367" t="str" cm="1">
        <f t="array" ref="K367">INDEX(Tbl_Translations[[#This Row],[Language 1]:[Language 10]],IFERROR(MATCH(Introduction!$C$22,Tbl_Langauges[Language],0),1))</f>
        <v>In this particular area chart, we see how often we have launched a "crewed mission" for each of the last 6 decades. A crewed mission is any mission to space that carries people.</v>
      </c>
    </row>
    <row r="368" spans="1:11">
      <c r="A368" t="s">
        <v>714</v>
      </c>
      <c r="B368" t="s">
        <v>715</v>
      </c>
      <c r="K368" t="str" cm="1">
        <f t="array" ref="K368">INDEX(Tbl_Translations[[#This Row],[Language 1]:[Language 10]],IFERROR(MATCH(Introduction!$C$22,Tbl_Langauges[Language],0),1))</f>
        <v>Introducing COLOR to this area chart allows the visual to split into smaller components, like pieces of a puzzle. While the original area chart illustrated the change, splitting the chart into "pieces" focuses on the destination of the crewed missions over time.</v>
      </c>
    </row>
    <row r="369" spans="1:11">
      <c r="A369" t="s">
        <v>716</v>
      </c>
      <c r="B369" t="s">
        <v>717</v>
      </c>
      <c r="K369" t="str" cm="1">
        <f t="array" ref="K369">INDEX(Tbl_Translations[[#This Row],[Language 1]:[Language 10]],IFERROR(MATCH(Introduction!$C$22,Tbl_Langauges[Language],0),1))</f>
        <v>Splitting destinations into these five categories illustrates our history of both lunar travel, and extended space travel. Space stations are habitats in space where crews can live for long periods of time. The ISS has now had a person in space constantly for the last 20 years!</v>
      </c>
    </row>
    <row r="370" spans="1:11">
      <c r="A370" t="s">
        <v>718</v>
      </c>
      <c r="B370" t="s">
        <v>719</v>
      </c>
      <c r="K370" t="str" cm="1">
        <f t="array" ref="K370">INDEX(Tbl_Translations[[#This Row],[Language 1]:[Language 10]],IFERROR(MATCH(Introduction!$C$22,Tbl_Langauges[Language],0),1))</f>
        <v>While the earliest spacecraft flew with just a single crewmember inside, most missions now include 2-4 people. The current record is 8 people carried to space on the same spacecraft!</v>
      </c>
    </row>
    <row r="371" spans="1:11">
      <c r="A371" t="s">
        <v>720</v>
      </c>
      <c r="B371" t="s">
        <v>721</v>
      </c>
      <c r="K371" t="str" cm="1">
        <f t="array" ref="K371">INDEX(Tbl_Translations[[#This Row],[Language 1]:[Language 10]],IFERROR(MATCH(Introduction!$C$22,Tbl_Langauges[Language],0),1))</f>
        <v>While the destinations of crewed missions have changed, so have their time in space. This chart adds all the days in space of the different explorers for each decade.</v>
      </c>
    </row>
    <row r="372" spans="1:11">
      <c r="A372" t="s">
        <v>722</v>
      </c>
      <c r="B372" t="s">
        <v>723</v>
      </c>
      <c r="K372" t="str" cm="1">
        <f t="array" ref="K372">INDEX(Tbl_Translations[[#This Row],[Language 1]:[Language 10]],IFERROR(MATCH(Introduction!$C$22,Tbl_Langauges[Language],0),1))</f>
        <v>Crewed spacecraft launched</v>
      </c>
    </row>
    <row r="373" spans="1:11">
      <c r="A373" t="s">
        <v>724</v>
      </c>
      <c r="B373" t="s">
        <v>725</v>
      </c>
      <c r="K373" t="str" cm="1">
        <f t="array" ref="K373">INDEX(Tbl_Translations[[#This Row],[Language 1]:[Language 10]],IFERROR(MATCH(Introduction!$C$22,Tbl_Langauges[Language],0),1))</f>
        <v>People in space</v>
      </c>
    </row>
    <row r="374" spans="1:11">
      <c r="A374" t="s">
        <v>726</v>
      </c>
      <c r="B374" t="s">
        <v>727</v>
      </c>
      <c r="K374" t="str" cm="1">
        <f t="array" ref="K374">INDEX(Tbl_Translations[[#This Row],[Language 1]:[Language 10]],IFERROR(MATCH(Introduction!$C$22,Tbl_Langauges[Language],0),1))</f>
        <v>Human days in space</v>
      </c>
    </row>
    <row r="375" spans="1:11">
      <c r="A375" t="s">
        <v>728</v>
      </c>
      <c r="B375" t="s">
        <v>729</v>
      </c>
      <c r="K375" t="str" cm="1">
        <f t="array" ref="K375">INDEX(Tbl_Translations[[#This Row],[Language 1]:[Language 10]],IFERROR(MATCH(Introduction!$C$22,Tbl_Langauges[Language],0),1))</f>
        <v>Crewed spacecraft launched by decade and destination</v>
      </c>
    </row>
    <row r="376" spans="1:11">
      <c r="A376" t="s">
        <v>730</v>
      </c>
      <c r="B376" t="s">
        <v>731</v>
      </c>
      <c r="K376" t="str" cm="1">
        <f t="array" ref="K376">INDEX(Tbl_Translations[[#This Row],[Language 1]:[Language 10]],IFERROR(MATCH(Introduction!$C$22,Tbl_Langauges[Language],0),1))</f>
        <v>People in space by decade and destination</v>
      </c>
    </row>
    <row r="377" spans="1:11">
      <c r="A377" t="s">
        <v>732</v>
      </c>
      <c r="B377" t="s">
        <v>733</v>
      </c>
      <c r="K377" t="str" cm="1">
        <f t="array" ref="K377">INDEX(Tbl_Translations[[#This Row],[Language 1]:[Language 10]],IFERROR(MATCH(Introduction!$C$22,Tbl_Langauges[Language],0),1))</f>
        <v>Human days in space by decade and destination</v>
      </c>
    </row>
    <row r="378" spans="1:11">
      <c r="A378" t="s">
        <v>734</v>
      </c>
      <c r="B378" t="s">
        <v>735</v>
      </c>
      <c r="K378" t="str" cm="1">
        <f t="array" ref="K378">INDEX(Tbl_Translations[[#This Row],[Language 1]:[Language 10]],IFERROR(MATCH(Introduction!$C$22,Tbl_Langauges[Language],0),1))</f>
        <v>Decade</v>
      </c>
    </row>
    <row r="379" spans="1:11">
      <c r="A379" t="s">
        <v>736</v>
      </c>
      <c r="B379" t="s">
        <v>737</v>
      </c>
      <c r="K379" t="str" cm="1">
        <f t="array" ref="K379">INDEX(Tbl_Translations[[#This Row],[Language 1]:[Language 10]],IFERROR(MATCH(Introduction!$C$22,Tbl_Langauges[Language],0),1))</f>
        <v>Destination</v>
      </c>
    </row>
    <row r="380" spans="1:11">
      <c r="A380" t="s">
        <v>738</v>
      </c>
      <c r="B380" t="s">
        <v>739</v>
      </c>
      <c r="K380" t="str" cm="1">
        <f t="array" ref="K380">INDEX(Tbl_Translations[[#This Row],[Language 1]:[Language 10]],IFERROR(MATCH(Introduction!$C$22,Tbl_Langauges[Language],0),1))</f>
        <v>year Dest</v>
      </c>
    </row>
    <row r="381" spans="1:11">
      <c r="A381" t="s">
        <v>740</v>
      </c>
      <c r="B381" t="s">
        <v>741</v>
      </c>
      <c r="K381" t="str" cm="1">
        <f t="array" ref="K381">INDEX(Tbl_Translations[[#This Row],[Language 1]:[Language 10]],IFERROR(MATCH(Introduction!$C$22,Tbl_Langauges[Language],0),1))</f>
        <v>Mission</v>
      </c>
    </row>
    <row r="382" spans="1:11">
      <c r="A382" t="s">
        <v>742</v>
      </c>
      <c r="B382" t="s">
        <v>743</v>
      </c>
      <c r="K382" t="str" cm="1">
        <f t="array" ref="K382">INDEX(Tbl_Translations[[#This Row],[Language 1]:[Language 10]],IFERROR(MATCH(Introduction!$C$22,Tbl_Langauges[Language],0),1))</f>
        <v>People</v>
      </c>
    </row>
    <row r="383" spans="1:11">
      <c r="A383" t="s">
        <v>744</v>
      </c>
      <c r="B383" t="s">
        <v>745</v>
      </c>
      <c r="K383" t="str" cm="1">
        <f t="array" ref="K383">INDEX(Tbl_Translations[[#This Row],[Language 1]:[Language 10]],IFERROR(MATCH(Introduction!$C$22,Tbl_Langauges[Language],0),1))</f>
        <v>Time</v>
      </c>
    </row>
    <row r="384" spans="1:11">
      <c r="A384" t="s">
        <v>746</v>
      </c>
      <c r="B384" t="s">
        <v>747</v>
      </c>
      <c r="K384" t="str" cm="1">
        <f t="array" ref="K384">INDEX(Tbl_Translations[[#This Row],[Language 1]:[Language 10]],IFERROR(MATCH(Introduction!$C$22,Tbl_Langauges[Language],0),1))</f>
        <v>Question</v>
      </c>
    </row>
    <row r="385" spans="1:11">
      <c r="A385" t="s">
        <v>748</v>
      </c>
      <c r="B385" t="s">
        <v>749</v>
      </c>
      <c r="K385" t="str" cm="1">
        <f t="array" ref="K385">INDEX(Tbl_Translations[[#This Row],[Language 1]:[Language 10]],IFERROR(MATCH(Introduction!$C$22,Tbl_Langauges[Language],0),1))</f>
        <v>Answer</v>
      </c>
    </row>
    <row r="386" spans="1:11">
      <c r="A386" t="s">
        <v>750</v>
      </c>
      <c r="B386" t="s">
        <v>751</v>
      </c>
      <c r="K386" t="str" cm="1">
        <f t="array" ref="K386">INDEX(Tbl_Translations[[#This Row],[Language 1]:[Language 10]],IFERROR(MATCH(Introduction!$C$22,Tbl_Langauges[Language],0),1))</f>
        <v>Shown text</v>
      </c>
    </row>
    <row r="387" spans="1:11">
      <c r="A387" t="s">
        <v>752</v>
      </c>
      <c r="B387" t="s">
        <v>753</v>
      </c>
      <c r="K387" t="str" cm="1">
        <f t="array" ref="K387">INDEX(Tbl_Translations[[#This Row],[Language 1]:[Language 10]],IFERROR(MATCH(Introduction!$C$22,Tbl_Langauges[Language],0),1))</f>
        <v>Q1. Which chart can be used to visualize and calculate the trend in a set of values?</v>
      </c>
    </row>
    <row r="388" spans="1:11">
      <c r="A388" t="s">
        <v>754</v>
      </c>
      <c r="B388" t="s">
        <v>755</v>
      </c>
      <c r="K388" t="str" cm="1">
        <f t="array" ref="K388">INDEX(Tbl_Translations[[#This Row],[Language 1]:[Language 10]],IFERROR(MATCH(Introduction!$C$22,Tbl_Langauges[Language],0),1))</f>
        <v>Q2. Which rocket could carry the THIRD largest payload?</v>
      </c>
    </row>
    <row r="389" spans="1:11">
      <c r="A389" t="s">
        <v>756</v>
      </c>
      <c r="B389" t="s">
        <v>757</v>
      </c>
      <c r="K389" t="str" cm="1">
        <f t="array" ref="K389">INDEX(Tbl_Translations[[#This Row],[Language 1]:[Language 10]],IFERROR(MATCH(Introduction!$C$22,Tbl_Langauges[Language],0),1))</f>
        <v>Q3. Which rocket has the best payload to structure ratio for sending cargo into space?</v>
      </c>
    </row>
    <row r="390" spans="1:11">
      <c r="A390" t="s">
        <v>758</v>
      </c>
      <c r="B390" t="s">
        <v>759</v>
      </c>
      <c r="K390" t="str" cm="1">
        <f t="array" ref="K390">INDEX(Tbl_Translations[[#This Row],[Language 1]:[Language 10]],IFERROR(MATCH(Introduction!$C$22,Tbl_Langauges[Language],0),1))</f>
        <v>Q4. Using the given trendline, what could the Cost per kg be in 2025?</v>
      </c>
    </row>
    <row r="391" spans="1:11">
      <c r="A391" t="s">
        <v>760</v>
      </c>
      <c r="B391" t="s">
        <v>761</v>
      </c>
      <c r="K391" t="str" cm="1">
        <f t="array" ref="K391">INDEX(Tbl_Translations[[#This Row],[Language 1]:[Language 10]],IFERROR(MATCH(Introduction!$C$22,Tbl_Langauges[Language],0),1))</f>
        <v>Q5. Using the chart, in which decade did the most people fly to space?</v>
      </c>
    </row>
    <row r="392" spans="1:11">
      <c r="A392" t="s">
        <v>762</v>
      </c>
      <c r="B392" t="s">
        <v>763</v>
      </c>
      <c r="K392" t="str" cm="1">
        <f t="array" ref="K392">INDEX(Tbl_Translations[[#This Row],[Language 1]:[Language 10]],IFERROR(MATCH(Introduction!$C$22,Tbl_Langauges[Language],0),1))</f>
        <v>Q6. Using the chart, in which decade did people spend the most time in space?</v>
      </c>
    </row>
    <row r="393" spans="1:11">
      <c r="A393" t="s">
        <v>764</v>
      </c>
      <c r="B393" t="s">
        <v>765</v>
      </c>
      <c r="K393" t="str" cm="1">
        <f t="array" ref="K393">INDEX(Tbl_Translations[[#This Row],[Language 1]:[Language 10]],IFERROR(MATCH(Introduction!$C$22,Tbl_Langauges[Language],0),1))</f>
        <v>Correct!</v>
      </c>
    </row>
    <row r="394" spans="1:11">
      <c r="A394" t="s">
        <v>766</v>
      </c>
      <c r="B394" t="s">
        <v>767</v>
      </c>
      <c r="K394" t="str" cm="1">
        <f t="array" ref="K394">INDEX(Tbl_Translations[[#This Row],[Language 1]:[Language 10]],IFERROR(MATCH(Introduction!$C$22,Tbl_Langauges[Language],0),1))</f>
        <v>Try again!</v>
      </c>
    </row>
    <row r="395" spans="1:11">
      <c r="A395" t="s">
        <v>768</v>
      </c>
      <c r="B395" t="s">
        <v>769</v>
      </c>
      <c r="K395" t="str" cm="1">
        <f t="array" ref="K395">INDEX(Tbl_Translations[[#This Row],[Language 1]:[Language 10]],IFERROR(MATCH(Introduction!$C$22,Tbl_Langauges[Language],0),1))</f>
        <v>Keep going to get your Space Data Badge!</v>
      </c>
    </row>
    <row r="396" spans="1:11">
      <c r="A396" t="s">
        <v>770</v>
      </c>
      <c r="B396" t="s">
        <v>771</v>
      </c>
      <c r="K396" t="str" cm="1">
        <f t="array" ref="K396">INDEX(Tbl_Translations[[#This Row],[Language 1]:[Language 10]],IFERROR(MATCH(Introduction!$C$22,Tbl_Langauges[Language],0),1))</f>
        <v>Column chart</v>
      </c>
    </row>
    <row r="397" spans="1:11">
      <c r="A397" t="s">
        <v>772</v>
      </c>
      <c r="B397" t="s">
        <v>773</v>
      </c>
      <c r="K397" t="str" cm="1">
        <f t="array" ref="K397">INDEX(Tbl_Translations[[#This Row],[Language 1]:[Language 10]],IFERROR(MATCH(Introduction!$C$22,Tbl_Langauges[Language],0),1))</f>
        <v>Stacked column</v>
      </c>
    </row>
    <row r="398" spans="1:11">
      <c r="A398" t="s">
        <v>774</v>
      </c>
      <c r="B398" t="s">
        <v>775</v>
      </c>
      <c r="K398" t="str" cm="1">
        <f t="array" ref="K398">INDEX(Tbl_Translations[[#This Row],[Language 1]:[Language 10]],IFERROR(MATCH(Introduction!$C$22,Tbl_Langauges[Language],0),1))</f>
        <v>Scatter chart</v>
      </c>
    </row>
    <row r="399" spans="1:11">
      <c r="A399" t="s">
        <v>776</v>
      </c>
      <c r="B399" t="s">
        <v>777</v>
      </c>
      <c r="K399" t="str" cm="1">
        <f t="array" ref="K399">INDEX(Tbl_Translations[[#This Row],[Language 1]:[Language 10]],IFERROR(MATCH(Introduction!$C$22,Tbl_Langauges[Language],0),1))</f>
        <v>Pie chart</v>
      </c>
    </row>
    <row r="400" spans="1:11">
      <c r="A400" t="s">
        <v>778</v>
      </c>
      <c r="B400" t="s">
        <v>779</v>
      </c>
      <c r="K400" t="str" cm="1">
        <f t="array" ref="K400">INDEX(Tbl_Translations[[#This Row],[Language 1]:[Language 10]],IFERROR(MATCH(Introduction!$C$22,Tbl_Langauges[Language],0),1))</f>
        <v>CONGRATULATIONS!</v>
      </c>
    </row>
    <row r="401" spans="1:11">
      <c r="A401" t="s">
        <v>780</v>
      </c>
      <c r="B401" t="s">
        <v>781</v>
      </c>
      <c r="K401" t="str" cm="1">
        <f t="array" ref="K401">INDEX(Tbl_Translations[[#This Row],[Language 1]:[Language 10]],IFERROR(MATCH(Introduction!$C$22,Tbl_Langauges[Language],0),1))</f>
        <v>Keep answering questions!</v>
      </c>
    </row>
    <row r="402" spans="1:11">
      <c r="A402" t="s">
        <v>782</v>
      </c>
      <c r="B402" t="s">
        <v>783</v>
      </c>
      <c r="K402" t="str" cm="1">
        <f t="array" ref="K402">INDEX(Tbl_Translations[[#This Row],[Language 1]:[Language 10]],IFERROR(MATCH(Introduction!$C$22,Tbl_Langauges[Language],0),1))</f>
        <v>Visualizing data through charts</v>
      </c>
    </row>
    <row r="403" spans="1:11">
      <c r="A403" t="s">
        <v>784</v>
      </c>
      <c r="B403" t="s">
        <v>785</v>
      </c>
      <c r="K403" t="str" cm="1">
        <f t="array" ref="K403">INDEX(Tbl_Translations[[#This Row],[Language 1]:[Language 10]],IFERROR(MATCH(Introduction!$C$22,Tbl_Langauges[Language],0),1))</f>
        <v>From rockets to explorers, there is so much data around space! Learn how different charts can help you gain insights into space travel.</v>
      </c>
    </row>
    <row r="404" spans="1:11">
      <c r="A404" t="s">
        <v>786</v>
      </c>
      <c r="B404" t="s">
        <v>787</v>
      </c>
      <c r="K404" t="str" cm="1">
        <f t="array" ref="K404">INDEX(Tbl_Translations[[#This Row],[Language 1]:[Language 10]],IFERROR(MATCH(Introduction!$C$22,Tbl_Langauges[Language],0),1))</f>
        <v>What is a chart? A chart is a visual representation of data from a worksheet that can help you understand more about the data than just using the numbers. To find a chart in Excel, use the Ctrl key plus the F6 key (in Excel for the web) and the Ctrl key plus Alt key plus 5 (in Excel for Windows).</v>
      </c>
    </row>
    <row r="405" spans="1:11">
      <c r="A405" t="s">
        <v>788</v>
      </c>
      <c r="B405" t="s">
        <v>789</v>
      </c>
      <c r="K405" t="str" cm="1">
        <f t="array" ref="K405">INDEX(Tbl_Translations[[#This Row],[Language 1]:[Language 10]],IFERROR(MATCH(Introduction!$C$22,Tbl_Langauges[Language],0),1))</f>
        <v>Column charts: Data that is arranged in columns or rows on a worksheet can be organized in a column chart. These charts are helpful when comparing categories (typically text names) by their value. The vertical axis shows the value of the data through size. The horizontal axis separates the values by their category.</v>
      </c>
    </row>
    <row r="406" spans="1:11">
      <c r="A406" t="s">
        <v>790</v>
      </c>
      <c r="B406" t="s">
        <v>791</v>
      </c>
      <c r="K406" t="str" cm="1">
        <f t="array" ref="K406">INDEX(Tbl_Translations[[#This Row],[Language 1]:[Language 10]],IFERROR(MATCH(Introduction!$C$22,Tbl_Langauges[Language],0),1))</f>
        <v>100% stacked column charts: A 100% stacked column chart shows values in columns that are stacked on top of each other to represent 100%. Use this chart when you want to compare the contributions to the whole, such as sections of a rocket! The vertical axis shows the proportion with different color segments. The horizontal axis separates the values by their category.</v>
      </c>
    </row>
    <row r="407" spans="1:11">
      <c r="A407" t="s">
        <v>792</v>
      </c>
      <c r="B407" t="s">
        <v>793</v>
      </c>
      <c r="K407" t="str" cm="1">
        <f t="array" ref="K407">INDEX(Tbl_Translations[[#This Row],[Language 1]:[Language 10]],IFERROR(MATCH(Introduction!$C$22,Tbl_Langauges[Language],0),1))</f>
        <v>Scatter charts: A scatter chart is handy when you have two sets of value data, and you are curious what trends there are between them. Those patterns help you predict where other data might land as well! The vertical axis shows the position of the values on the y axis. The horizontal axis shows the position of the values on the x axis.</v>
      </c>
    </row>
    <row r="408" spans="1:11">
      <c r="A408" t="s">
        <v>794</v>
      </c>
      <c r="B408" t="s">
        <v>795</v>
      </c>
      <c r="K408" t="str" cm="1">
        <f t="array" ref="K408">INDEX(Tbl_Translations[[#This Row],[Language 1]:[Language 10]],IFERROR(MATCH(Introduction!$C$22,Tbl_Langauges[Language],0),1))</f>
        <v>Area charts: Stacked area charts show the trend of the contribution of each value over time (or other category), which helps you tell how the different categories change! The vertical axis shows the size of the values, with the categories separated by color. The horizontal axis shows the categories or the position of the time values.</v>
      </c>
    </row>
    <row r="409" spans="1:11">
      <c r="A409" t="s">
        <v>796</v>
      </c>
      <c r="B409" t="s">
        <v>797</v>
      </c>
      <c r="K409" t="str" cm="1">
        <f t="array" ref="K409">INDEX(Tbl_Translations[[#This Row],[Language 1]:[Language 10]],IFERROR(MATCH(Introduction!$C$22,Tbl_Langauges[Language],0),1))</f>
        <v>Discussion: Have you used charts before? What kinds of charts have you come across? Check your understanding: Answer the question in cell P21.</v>
      </c>
    </row>
    <row r="410" spans="1:11">
      <c r="A410" t="s">
        <v>798</v>
      </c>
      <c r="B410" t="s">
        <v>799</v>
      </c>
      <c r="K410" t="str" cm="1">
        <f t="array" ref="K410">INDEX(Tbl_Translations[[#This Row],[Language 1]:[Language 10]],IFERROR(MATCH(Introduction!$C$22,Tbl_Langauges[Language],0),1))</f>
        <v>From rockets to explorers, there is SO MUCH data around space! Learn about how different charts can help you gain insights into space travel!</v>
      </c>
    </row>
    <row r="411" spans="1:11">
      <c r="A411" t="s">
        <v>800</v>
      </c>
      <c r="B411" t="s">
        <v>801</v>
      </c>
      <c r="K411" t="str" cm="1">
        <f t="array" ref="K411">INDEX(Tbl_Translations[[#This Row],[Language 1]:[Language 10]],IFERROR(MATCH(Introduction!$C$22,Tbl_Langauges[Language],0),1))</f>
        <v>Done with the lesson on this page? Answer these questions!</v>
      </c>
    </row>
    <row r="412" spans="1:11">
      <c r="A412" t="s">
        <v>802</v>
      </c>
      <c r="B412" t="s">
        <v>803</v>
      </c>
      <c r="K412" t="str" cm="1">
        <f t="array" ref="K412">INDEX(Tbl_Translations[[#This Row],[Language 1]:[Language 10]],IFERROR(MATCH(Introduction!$C$22,Tbl_Langauges[Language],0),1))</f>
        <v>Discussion -</v>
      </c>
    </row>
    <row r="413" spans="1:11">
      <c r="A413" t="s">
        <v>804</v>
      </c>
      <c r="B413" t="s">
        <v>805</v>
      </c>
      <c r="K413" t="str" cm="1">
        <f t="array" ref="K413">INDEX(Tbl_Translations[[#This Row],[Language 1]:[Language 10]],IFERROR(MATCH(Introduction!$C$22,Tbl_Langauges[Language],0),1))</f>
        <v>Have you used charts before? What kinds of charts have you seen?</v>
      </c>
    </row>
    <row r="414" spans="1:11">
      <c r="A414" t="s">
        <v>806</v>
      </c>
      <c r="B414" t="s">
        <v>807</v>
      </c>
      <c r="K414" t="str" cm="1">
        <f t="array" ref="K414">INDEX(Tbl_Translations[[#This Row],[Language 1]:[Language 10]],IFERROR(MATCH(Introduction!$C$22,Tbl_Langauges[Language],0),1))</f>
        <v>Stacked column chart</v>
      </c>
    </row>
    <row r="415" spans="1:11">
      <c r="A415" t="s">
        <v>808</v>
      </c>
      <c r="B415" t="s">
        <v>809</v>
      </c>
      <c r="K415" t="str" cm="1">
        <f t="array" ref="K415">INDEX(Tbl_Translations[[#This Row],[Language 1]:[Language 10]],IFERROR(MATCH(Introduction!$C$22,Tbl_Langauges[Language],0),1))</f>
        <v>How much can rockets carry to space?</v>
      </c>
    </row>
    <row r="416" spans="1:11">
      <c r="A416" t="s">
        <v>810</v>
      </c>
      <c r="B416" t="s">
        <v>811</v>
      </c>
      <c r="K416" t="str" cm="1">
        <f t="array" ref="K416">INDEX(Tbl_Translations[[#This Row],[Language 1]:[Language 10]],IFERROR(MATCH(Introduction!$C$22,Tbl_Langauges[Language],0),1))</f>
        <v>Learn how to use a column chart to organize and analyze rocket payload data.</v>
      </c>
    </row>
    <row r="417" spans="1:11">
      <c r="A417" t="s">
        <v>812</v>
      </c>
      <c r="B417" t="s">
        <v>813</v>
      </c>
      <c r="K417" t="str" cm="1">
        <f t="array" ref="K417">INDEX(Tbl_Translations[[#This Row],[Language 1]:[Language 10]],IFERROR(MATCH(Introduction!$C$22,Tbl_Langauges[Language],0),1))</f>
        <v>What is a column chart? A column chart is a way to visualize data that uses the size and height of vertical bars to quickly show a value. Sometimes it is easier to interpret differences in size faster than differences in numbers, which is when a column chart can be helpful.</v>
      </c>
    </row>
    <row r="418" spans="1:11">
      <c r="A418" t="s">
        <v>814</v>
      </c>
      <c r="B418" t="s">
        <v>815</v>
      </c>
      <c r="K418" t="str" cm="1">
        <f t="array" ref="K418">INDEX(Tbl_Translations[[#This Row],[Language 1]:[Language 10]],IFERROR(MATCH(Introduction!$C$22,Tbl_Langauges[Language],0),1))</f>
        <v>What is rocket payload? The crew and/or cargo that is carried into space by a rocket is called the payload. You can compare the differences in payload mass for different rockets using a column chart.</v>
      </c>
    </row>
    <row r="419" spans="1:11">
      <c r="A419" t="s">
        <v>816</v>
      </c>
      <c r="B419" t="s">
        <v>817</v>
      </c>
      <c r="K419" t="str" cm="1">
        <f t="array" ref="K419">INDEX(Tbl_Translations[[#This Row],[Language 1]:[Language 10]],IFERROR(MATCH(Introduction!$C$22,Tbl_Langauges[Language],0),1))</f>
        <v>Organizing your chart: Since your chart is tied to your table, you can organize your chart by sorting your table. On the table, use the filter button or alt key plus down arrow key to bring up the Sort meny. Try sorting launch year in ascending order (smallest to largest).</v>
      </c>
    </row>
    <row r="420" spans="1:11">
      <c r="A420" t="s">
        <v>818</v>
      </c>
      <c r="B420" t="s">
        <v>819</v>
      </c>
      <c r="K420" t="str" cm="1">
        <f t="array" ref="K420">INDEX(Tbl_Translations[[#This Row],[Language 1]:[Language 10]],IFERROR(MATCH(Introduction!$C$22,Tbl_Langauges[Language],0),1))</f>
        <v>Discussion: Why do you think rockets can carry different sizes of payloads? Check your knowledge: Use the table in cells F22 to H31 to answer the question in cell M21.</v>
      </c>
    </row>
    <row r="421" spans="1:11">
      <c r="A421" t="s">
        <v>820</v>
      </c>
      <c r="B421" t="s">
        <v>821</v>
      </c>
      <c r="K421" t="str" cm="1">
        <f t="array" ref="K421">INDEX(Tbl_Translations[[#This Row],[Language 1]:[Language 10]],IFERROR(MATCH(Introduction!$C$22,Tbl_Langauges[Language],0),1))</f>
        <v>First launch year</v>
      </c>
    </row>
    <row r="422" spans="1:11">
      <c r="A422" t="s">
        <v>822</v>
      </c>
      <c r="B422" t="s">
        <v>823</v>
      </c>
      <c r="K422" t="str" cm="1">
        <f t="array" ref="K422">INDEX(Tbl_Translations[[#This Row],[Language 1]:[Language 10]],IFERROR(MATCH(Introduction!$C$22,Tbl_Langauges[Language],0),1))</f>
        <v>Payload mass (kg)</v>
      </c>
    </row>
    <row r="423" spans="1:11">
      <c r="A423" t="s">
        <v>824</v>
      </c>
      <c r="B423" t="s">
        <v>825</v>
      </c>
      <c r="K423" t="str" cm="1">
        <f t="array" ref="K423">INDEX(Tbl_Translations[[#This Row],[Language 1]:[Language 10]],IFERROR(MATCH(Introduction!$C$22,Tbl_Langauges[Language],0),1))</f>
        <v>Why do you think rockets can carry different sizes of payloads?</v>
      </c>
    </row>
    <row r="424" spans="1:11">
      <c r="A424" t="s">
        <v>826</v>
      </c>
      <c r="B424" t="s">
        <v>827</v>
      </c>
      <c r="K424" t="str" cm="1">
        <f t="array" ref="K424">INDEX(Tbl_Translations[[#This Row],[Language 1]:[Language 10]],IFERROR(MATCH(Introduction!$C$22,Tbl_Langauges[Language],0),1))</f>
        <v>Visualizing with color - stacked column charts</v>
      </c>
    </row>
    <row r="425" spans="1:11">
      <c r="A425" t="s">
        <v>828</v>
      </c>
      <c r="B425" t="s">
        <v>829</v>
      </c>
      <c r="K425" t="str" cm="1">
        <f t="array" ref="K425">INDEX(Tbl_Translations[[#This Row],[Language 1]:[Language 10]],IFERROR(MATCH(Introduction!$C$22,Tbl_Langauges[Language],0),1))</f>
        <v>Now that you've learned about rocket payloads, research rocket mass proportions using a stacked column chart.</v>
      </c>
    </row>
    <row r="426" spans="1:11">
      <c r="A426" t="s">
        <v>830</v>
      </c>
      <c r="B426" t="s">
        <v>831</v>
      </c>
      <c r="K426" t="str" cm="1">
        <f t="array" ref="K426">INDEX(Tbl_Translations[[#This Row],[Language 1]:[Language 10]],IFERROR(MATCH(Introduction!$C$22,Tbl_Langauges[Language],0),1))</f>
        <v>Stacked column chart: A stacked column chart allows proportional comparisons between items by adding color. Each colored section in a column represents a percentage of the total being measured.</v>
      </c>
    </row>
    <row r="427" spans="1:11">
      <c r="A427" t="s">
        <v>832</v>
      </c>
      <c r="B427" t="s">
        <v>833</v>
      </c>
      <c r="K427" t="str" cm="1">
        <f t="array" ref="K427">INDEX(Tbl_Translations[[#This Row],[Language 1]:[Language 10]],IFERROR(MATCH(Introduction!$C$22,Tbl_Langauges[Language],0),1))</f>
        <v>Rocket mass proportions: The total mass of a rocket can be divided into three categories - fuel, structure, and payload. The largest proportion of a rocket's mass is fuel, followed by its structure and then its payload.</v>
      </c>
    </row>
    <row r="428" spans="1:11">
      <c r="A428" t="s">
        <v>834</v>
      </c>
      <c r="B428" t="s">
        <v>835</v>
      </c>
      <c r="K428" t="str" cm="1">
        <f t="array" ref="K428">INDEX(Tbl_Translations[[#This Row],[Language 1]:[Language 10]],IFERROR(MATCH(Introduction!$C$22,Tbl_Langauges[Language],0),1))</f>
        <v>Payload-structure comparison: When we remove fuel mass from the chart (the largest proportion), the proportion between the remaining two (rocket structure and payload mass) becomes easier to notice. Sort the launch year in ascending order (smallest to largest) in the table in cells E22 to I31. By calculating the proportion, we notice that the ratio of the payload mass to structure mass has been increasing over time.</v>
      </c>
    </row>
    <row r="429" spans="1:11">
      <c r="A429" t="s">
        <v>836</v>
      </c>
      <c r="B429" t="s">
        <v>837</v>
      </c>
      <c r="K429" t="str" cm="1">
        <f t="array" ref="K429">INDEX(Tbl_Translations[[#This Row],[Language 1]:[Language 10]],IFERROR(MATCH(Introduction!$C$22,Tbl_Langauges[Language],0),1))</f>
        <v>Discussion: Why is it important for engineers to pay attention to mass ratios when designing a rocket? Check your knowledge: Use the table in cells E22 to I31 to answer the question in cell M21.</v>
      </c>
    </row>
    <row r="430" spans="1:11">
      <c r="A430" t="s">
        <v>838</v>
      </c>
      <c r="B430" t="s">
        <v>839</v>
      </c>
      <c r="K430" t="str" cm="1">
        <f t="array" ref="K430">INDEX(Tbl_Translations[[#This Row],[Language 1]:[Language 10]],IFERROR(MATCH(Introduction!$C$22,Tbl_Langauges[Language],0),1))</f>
        <v>Visualizing with COLOR -  stacked column charts</v>
      </c>
    </row>
    <row r="431" spans="1:11">
      <c r="A431" t="s">
        <v>840</v>
      </c>
      <c r="B431" t="s">
        <v>841</v>
      </c>
      <c r="K431" t="str" cm="1">
        <f t="array" ref="K431">INDEX(Tbl_Translations[[#This Row],[Language 1]:[Language 10]],IFERROR(MATCH(Introduction!$C$22,Tbl_Langauges[Language],0),1))</f>
        <v>Why is it important for engineers to pay attention to mass ratios when designing a rocket?</v>
      </c>
    </row>
    <row r="432" spans="1:11">
      <c r="A432" t="s">
        <v>842</v>
      </c>
      <c r="B432" t="s">
        <v>843</v>
      </c>
      <c r="K432" t="str" cm="1">
        <f t="array" ref="K432">INDEX(Tbl_Translations[[#This Row],[Language 1]:[Language 10]],IFERROR(MATCH(Introduction!$C$22,Tbl_Langauges[Language],0),1))</f>
        <v>Launch Year</v>
      </c>
    </row>
    <row r="433" spans="1:11">
      <c r="A433" t="s">
        <v>844</v>
      </c>
      <c r="B433" t="s">
        <v>845</v>
      </c>
      <c r="K433" t="str" cm="1">
        <f t="array" ref="K433">INDEX(Tbl_Translations[[#This Row],[Language 1]:[Language 10]],IFERROR(MATCH(Introduction!$C$22,Tbl_Langauges[Language],0),1))</f>
        <v>Structure mass (kg)</v>
      </c>
    </row>
    <row r="434" spans="1:11">
      <c r="A434" t="s">
        <v>846</v>
      </c>
      <c r="B434" t="s">
        <v>847</v>
      </c>
      <c r="K434" t="str" cm="1">
        <f t="array" ref="K434">INDEX(Tbl_Translations[[#This Row],[Language 1]:[Language 10]],IFERROR(MATCH(Introduction!$C$22,Tbl_Langauges[Language],0),1))</f>
        <v>Fuel mass (kg)</v>
      </c>
    </row>
    <row r="435" spans="1:11">
      <c r="A435" t="s">
        <v>848</v>
      </c>
      <c r="B435" t="s">
        <v>849</v>
      </c>
      <c r="K435" t="str" cm="1">
        <f t="array" ref="K435">INDEX(Tbl_Translations[[#This Row],[Language 1]:[Language 10]],IFERROR(MATCH(Introduction!$C$22,Tbl_Langauges[Language],0),1))</f>
        <v>Visualizing with position - scatter plot</v>
      </c>
    </row>
    <row r="436" spans="1:11">
      <c r="A436" t="s">
        <v>850</v>
      </c>
      <c r="B436" t="s">
        <v>851</v>
      </c>
      <c r="K436" t="str" cm="1">
        <f t="array" ref="K436">INDEX(Tbl_Translations[[#This Row],[Language 1]:[Language 10]],IFERROR(MATCH(Introduction!$C$22,Tbl_Langauges[Language],0),1))</f>
        <v>Now that we have studied proportions with mass, investigate using position based charts to forecast the future!</v>
      </c>
    </row>
    <row r="437" spans="1:11">
      <c r="A437" t="s">
        <v>852</v>
      </c>
      <c r="B437" t="s">
        <v>853</v>
      </c>
      <c r="K437" t="str" cm="1">
        <f t="array" ref="K437">INDEX(Tbl_Translations[[#This Row],[Language 1]:[Language 10]],IFERROR(MATCH(Introduction!$C$22,Tbl_Langauges[Language],0),1))</f>
        <v>Scatter plot charts: Scatter plot charts allow for patterns in the data to be visualized. With each dot representing the position of each data point, trends can be found and used to predict future outcomes!</v>
      </c>
    </row>
    <row r="438" spans="1:11">
      <c r="A438" t="s">
        <v>854</v>
      </c>
      <c r="B438" t="s">
        <v>855</v>
      </c>
      <c r="K438" t="str" cm="1">
        <f t="array" ref="K438">INDEX(Tbl_Translations[[#This Row],[Language 1]:[Language 10]],IFERROR(MATCH(Introduction!$C$22,Tbl_Langauges[Language],0),1))</f>
        <v>Using trendlines: A key method to find patterns in a scatter plot is to use a trendline. A trendline is a line that "best fits" between all of the points on the chart. For example, in our graph comparing rocket efficiency, a linear best fit trendline shows us that the cost per kilogram is decreasing over time.</v>
      </c>
    </row>
    <row r="439" spans="1:11">
      <c r="A439" t="s">
        <v>856</v>
      </c>
      <c r="B439" t="s">
        <v>857</v>
      </c>
      <c r="K439" t="str" cm="1">
        <f t="array" ref="K439">INDEX(Tbl_Translations[[#This Row],[Language 1]:[Language 10]],IFERROR(MATCH(Introduction!$C$22,Tbl_Langauges[Language],0),1))</f>
        <v>Forecasting: Once your chart has a trendline, you can use it to "forecast" (or predict) that pattern into the future. Forecasting can also help to notice if the pattern makes sense going forward.</v>
      </c>
    </row>
    <row r="440" spans="1:11">
      <c r="A440" t="s">
        <v>858</v>
      </c>
      <c r="B440" t="s">
        <v>859</v>
      </c>
      <c r="K440" t="str" cm="1">
        <f t="array" ref="K440">INDEX(Tbl_Translations[[#This Row],[Language 1]:[Language 10]],IFERROR(MATCH(Introduction!$C$22,Tbl_Langauges[Language],0),1))</f>
        <v>Discussion: What are two other data sets from the table in cells E22 to I31 that would be a good fit for scatter plot charts? Check your knowledge: Use the table in cells E22 to I31 to answer the question in cell M21.</v>
      </c>
    </row>
    <row r="441" spans="1:11">
      <c r="A441" t="s">
        <v>860</v>
      </c>
      <c r="B441" t="s">
        <v>861</v>
      </c>
      <c r="K441" t="str" cm="1">
        <f t="array" ref="K441">INDEX(Tbl_Translations[[#This Row],[Language 1]:[Language 10]],IFERROR(MATCH(Introduction!$C$22,Tbl_Langauges[Language],0),1))</f>
        <v>Visualizing with POSITION - scatter charts</v>
      </c>
    </row>
    <row r="442" spans="1:11">
      <c r="A442" t="s">
        <v>862</v>
      </c>
      <c r="B442" t="s">
        <v>863</v>
      </c>
      <c r="K442" t="str" cm="1">
        <f t="array" ref="K442">INDEX(Tbl_Translations[[#This Row],[Language 1]:[Language 10]],IFERROR(MATCH(Introduction!$C$22,Tbl_Langauges[Language],0),1))</f>
        <v>Comparing rocket efficiency</v>
      </c>
    </row>
    <row r="443" spans="1:11">
      <c r="A443" t="s">
        <v>864</v>
      </c>
      <c r="B443" t="s">
        <v>865</v>
      </c>
      <c r="K443" t="str" cm="1">
        <f t="array" ref="K443">INDEX(Tbl_Translations[[#This Row],[Language 1]:[Language 10]],IFERROR(MATCH(Introduction!$C$22,Tbl_Langauges[Language],0),1))</f>
        <v>What are two other data sets from the table that would be a good fit for scatter plot charts?</v>
      </c>
    </row>
    <row r="444" spans="1:11">
      <c r="A444" t="s">
        <v>866</v>
      </c>
      <c r="B444" t="s">
        <v>867</v>
      </c>
      <c r="K444" t="str" cm="1">
        <f t="array" ref="K444">INDEX(Tbl_Translations[[#This Row],[Language 1]:[Language 10]],IFERROR(MATCH(Introduction!$C$22,Tbl_Langauges[Language],0),1))</f>
        <v>Visualizing complex data - area charts</v>
      </c>
    </row>
    <row r="445" spans="1:11">
      <c r="A445" t="s">
        <v>868</v>
      </c>
      <c r="B445" t="s">
        <v>869</v>
      </c>
      <c r="K445" t="str" cm="1">
        <f t="array" ref="K445">INDEX(Tbl_Translations[[#This Row],[Language 1]:[Language 10]],IFERROR(MATCH(Introduction!$C$22,Tbl_Langauges[Language],0),1))</f>
        <v>Complex questions can require more complex visualizations. Incorporate size, color, and position with stacked area charts to interpret trends in crewed spaceflight over the last 60 years!</v>
      </c>
    </row>
    <row r="446" spans="1:11">
      <c r="A446" t="s">
        <v>870</v>
      </c>
      <c r="B446" t="s">
        <v>871</v>
      </c>
      <c r="K446" t="str" cm="1">
        <f t="array" ref="K446">INDEX(Tbl_Translations[[#This Row],[Language 1]:[Language 10]],IFERROR(MATCH(Introduction!$C$22,Tbl_Langauges[Language],0),1))</f>
        <v>What is an area chart? The goal of an area chart is to show the change over time of a set of data. It taskes visualization features found in both column and scatter charts to illustrate data in a new manner.</v>
      </c>
    </row>
    <row r="447" spans="1:11">
      <c r="A447" t="s">
        <v>872</v>
      </c>
      <c r="B447" t="s">
        <v>873</v>
      </c>
      <c r="K447" t="str" cm="1">
        <f t="array" ref="K447">INDEX(Tbl_Translations[[#This Row],[Language 1]:[Language 10]],IFERROR(MATCH(Introduction!$C$22,Tbl_Langauges[Language],0),1))</f>
        <v>Visualizing with area: While column charts primarily showed the data through size, and scatter charts through differences in position, an area chart combines the two to show how the size of the shaded areas change between different points.</v>
      </c>
    </row>
    <row r="448" spans="1:11">
      <c r="A448" t="s">
        <v>874</v>
      </c>
      <c r="B448" t="s">
        <v>875</v>
      </c>
      <c r="K448" t="str" cm="1">
        <f t="array" ref="K448">INDEX(Tbl_Translations[[#This Row],[Language 1]:[Language 10]],IFERROR(MATCH(Introduction!$C$22,Tbl_Langauges[Language],0),1))</f>
        <v>Crewed missions: In this lesson, we notice how often we have launched a "crewed mission" for each of the last six decades. A crewed mission is any mission to space that carries people.</v>
      </c>
    </row>
    <row r="449" spans="1:11">
      <c r="A449" t="s">
        <v>876</v>
      </c>
      <c r="B449" t="s">
        <v>877</v>
      </c>
      <c r="K449" t="str" cm="1">
        <f t="array" ref="K449">INDEX(Tbl_Translations[[#This Row],[Language 1]:[Language 10]],IFERROR(MATCH(Introduction!$C$22,Tbl_Langauges[Language],0),1))</f>
        <v>Stacking with color: Introducing color into an area chart allows the visual to split into smaller components, like pieces of a puzzle. An area chart with one color could show the number of crewed missions over time. An area chart with multiple colors (multiple puzzle pieces) brings a greater focus on where the crewed missions go.</v>
      </c>
    </row>
    <row r="450" spans="1:11">
      <c r="A450" t="s">
        <v>878</v>
      </c>
      <c r="B450" t="s">
        <v>879</v>
      </c>
      <c r="K450" t="str" cm="1">
        <f t="array" ref="K450">INDEX(Tbl_Translations[[#This Row],[Language 1]:[Language 10]],IFERROR(MATCH(Introduction!$C$22,Tbl_Langauges[Language],0),1))</f>
        <v>Where have we gone? Splitting destinations into these five categories - earth orbit, lunar mission, Mir Space Station, International Space Station, and other space station - shows both our history of lunar travel and extended space travel. Space stations are habitats in space where crews can live for long periods of time. The Interational Space Station has now had a person in space constantly for the last 20 years!</v>
      </c>
    </row>
    <row r="451" spans="1:11">
      <c r="A451" t="s">
        <v>880</v>
      </c>
      <c r="B451" t="s">
        <v>881</v>
      </c>
      <c r="K451" t="str" cm="1">
        <f t="array" ref="K451">INDEX(Tbl_Translations[[#This Row],[Language 1]:[Language 10]],IFERROR(MATCH(Introduction!$C$22,Tbl_Langauges[Language],0),1))</f>
        <v>People sent to space: While the earliest spacecraft flew with just a single crewmember inside, most missions now include 2-4 people. The current record is 8 people carried to space on the same spacecraft!</v>
      </c>
    </row>
    <row r="452" spans="1:11">
      <c r="A452" t="s">
        <v>882</v>
      </c>
      <c r="B452" t="s">
        <v>883</v>
      </c>
      <c r="K452" t="str" cm="1">
        <f t="array" ref="K452">INDEX(Tbl_Translations[[#This Row],[Language 1]:[Language 10]],IFERROR(MATCH(Introduction!$C$22,Tbl_Langauges[Language],0),1))</f>
        <v xml:space="preserve">Check your knowledge: Use the table in cells E22 to I31 to answer the two questions in cells M17 and M21. </v>
      </c>
    </row>
    <row r="453" spans="1:11">
      <c r="A453" t="s">
        <v>884</v>
      </c>
      <c r="B453" t="s">
        <v>884</v>
      </c>
      <c r="K453" t="str" cm="1">
        <f t="array" ref="K453">INDEX(Tbl_Translations[[#This Row],[Language 1]:[Language 10]],IFERROR(MATCH(Introduction!$C$22,Tbl_Langauges[Language],0),1))</f>
        <v>Total</v>
      </c>
    </row>
    <row r="454" spans="1:11">
      <c r="A454" t="s">
        <v>885</v>
      </c>
      <c r="B454" t="s">
        <v>886</v>
      </c>
      <c r="K454" t="str" cm="1">
        <f t="array" ref="K454">INDEX(Tbl_Translations[[#This Row],[Language 1]:[Language 10]],IFERROR(MATCH(Introduction!$C$22,Tbl_Langauges[Language],0),1))</f>
        <v>Done with the lesson on this page? Select the correct chart to answer these questions!</v>
      </c>
    </row>
    <row r="455" spans="1:11">
      <c r="A455" t="s">
        <v>887</v>
      </c>
      <c r="B455" t="s">
        <v>888</v>
      </c>
      <c r="K455" t="str" cm="1">
        <f t="array" ref="K455">INDEX(Tbl_Translations[[#This Row],[Language 1]:[Language 10]],IFERROR(MATCH(Introduction!$C$22,Tbl_Langauges[Language],0),1))</f>
        <v>Images</v>
      </c>
    </row>
    <row r="456" spans="1:11">
      <c r="A456" t="s">
        <v>889</v>
      </c>
      <c r="B456" t="s">
        <v>890</v>
      </c>
      <c r="K456" t="str" cm="1">
        <f t="array" ref="K456">INDEX(Tbl_Translations[[#This Row],[Language 1]:[Language 10]],IFERROR(MATCH(Introduction!$C$22,Tbl_Langauges[Language],0),1))</f>
        <v>Numbers</v>
      </c>
    </row>
    <row r="457" spans="1:11">
      <c r="A457" t="s">
        <v>891</v>
      </c>
      <c r="B457" t="s">
        <v>892</v>
      </c>
      <c r="K457" t="str" cm="1">
        <f t="array" ref="K457">INDEX(Tbl_Translations[[#This Row],[Language 1]:[Language 10]],IFERROR(MATCH(Introduction!$C$22,Tbl_Langauges[Language],0),1))</f>
        <v>Data</v>
      </c>
    </row>
    <row r="458" spans="1:11">
      <c r="A458" t="s">
        <v>893</v>
      </c>
      <c r="B458" t="s">
        <v>894</v>
      </c>
      <c r="K458" t="str" cm="1">
        <f t="array" ref="K458">INDEX(Tbl_Translations[[#This Row],[Language 1]:[Language 10]],IFERROR(MATCH(Introduction!$C$22,Tbl_Langauges[Language],0),1))</f>
        <v>Sort ↓</v>
      </c>
    </row>
    <row r="459" spans="1:11">
      <c r="A459" t="s">
        <v>895</v>
      </c>
      <c r="B459" t="s">
        <v>896</v>
      </c>
      <c r="K459" t="str" cm="1">
        <f t="array" ref="K459">INDEX(Tbl_Translations[[#This Row],[Language 1]:[Language 10]],IFERROR(MATCH(Introduction!$C$22,Tbl_Langauges[Language],0),1))</f>
        <v>Certificate of Completion</v>
      </c>
    </row>
    <row r="460" spans="1:11">
      <c r="A460" t="s">
        <v>897</v>
      </c>
      <c r="B460" t="s">
        <v>898</v>
      </c>
      <c r="K460" t="str" cm="1">
        <f t="array" ref="K460">INDEX(Tbl_Translations[[#This Row],[Language 1]:[Language 10]],IFERROR(MATCH(Introduction!$C$22,Tbl_Langauges[Language],0),1))</f>
        <v>Introduction to Data</v>
      </c>
    </row>
    <row r="461" spans="1:11">
      <c r="A461" t="s">
        <v>899</v>
      </c>
      <c r="B461" t="s">
        <v>900</v>
      </c>
      <c r="K461" t="str" cm="1">
        <f t="array" ref="K461">INDEX(Tbl_Translations[[#This Row],[Language 1]:[Language 10]],IFERROR(MATCH(Introduction!$C$22,Tbl_Langauges[Language],0),1))</f>
        <v>Congratulations for earning your Space Data Badge!</v>
      </c>
    </row>
    <row r="462" spans="1:11">
      <c r="A462" t="s">
        <v>901</v>
      </c>
      <c r="B462" t="s">
        <v>902</v>
      </c>
      <c r="K462" t="str" cm="1">
        <f t="array" ref="K462">INDEX(Tbl_Translations[[#This Row],[Language 1]:[Language 10]],IFERROR(MATCH(Introduction!$C$22,Tbl_Langauges[Language],0),1))</f>
        <v xml:space="preserve">This certificate celebrates </v>
      </c>
    </row>
    <row r="463" spans="1:11">
      <c r="A463" t="s">
        <v>903</v>
      </c>
      <c r="B463" t="s">
        <v>904</v>
      </c>
      <c r="K463" t="str" cm="1">
        <f t="array" ref="K463">INDEX(Tbl_Translations[[#This Row],[Language 1]:[Language 10]],IFERROR(MATCH(Introduction!$C$22,Tbl_Langauges[Language],0),1))</f>
        <v xml:space="preserve">for the successful completion of the Introduction to Data experience! </v>
      </c>
    </row>
    <row r="464" spans="1:11">
      <c r="A464" t="s">
        <v>905</v>
      </c>
      <c r="B464" t="s">
        <v>906</v>
      </c>
      <c r="K464" t="str" cm="1">
        <f t="array" ref="K464">INDEX(Tbl_Translations[[#This Row],[Language 1]:[Language 10]],IFERROR(MATCH(Introduction!$C$22,Tbl_Langauges[Language],0),1))</f>
        <v>type your name here</v>
      </c>
    </row>
    <row r="465" spans="1:11">
      <c r="A465" t="s">
        <v>907</v>
      </c>
      <c r="B465" t="s">
        <v>908</v>
      </c>
      <c r="K465" t="str" cm="1">
        <f t="array" ref="K465">INDEX(Tbl_Translations[[#This Row],[Language 1]:[Language 10]],IFERROR(MATCH(Introduction!$C$22,Tbl_Langauges[Language],0),1))</f>
        <v>Exploring charts</v>
      </c>
    </row>
    <row r="466" spans="1:11">
      <c r="A466" t="s">
        <v>909</v>
      </c>
      <c r="B466" t="s">
        <v>910</v>
      </c>
      <c r="K466" t="str" cm="1">
        <f t="array" ref="K466">INDEX(Tbl_Translations[[#This Row],[Language 1]:[Language 10]],IFERROR(MATCH(Introduction!$C$22,Tbl_Langauges[Language],0),1))</f>
        <v>Plot area</v>
      </c>
    </row>
    <row r="467" spans="1:11">
      <c r="A467" t="s">
        <v>911</v>
      </c>
      <c r="B467" t="s">
        <v>912</v>
      </c>
      <c r="K467" t="str" cm="1">
        <f t="array" ref="K467">INDEX(Tbl_Translations[[#This Row],[Language 1]:[Language 10]],IFERROR(MATCH(Introduction!$C$22,Tbl_Langauges[Language],0),1))</f>
        <v>Chart title</v>
      </c>
    </row>
    <row r="468" spans="1:11">
      <c r="A468" t="s">
        <v>913</v>
      </c>
      <c r="B468" t="s">
        <v>914</v>
      </c>
      <c r="K468" t="str" cm="1">
        <f t="array" ref="K468">INDEX(Tbl_Translations[[#This Row],[Language 1]:[Language 10]],IFERROR(MATCH(Introduction!$C$22,Tbl_Langauges[Language],0),1))</f>
        <v>Axis title</v>
      </c>
    </row>
    <row r="469" spans="1:11">
      <c r="A469" t="s">
        <v>915</v>
      </c>
      <c r="B469" t="s">
        <v>916</v>
      </c>
      <c r="K469" t="str" cm="1">
        <f t="array" ref="K469">INDEX(Tbl_Translations[[#This Row],[Language 1]:[Language 10]],IFERROR(MATCH(Introduction!$C$22,Tbl_Langauges[Language],0),1))</f>
        <v>Sorting a chart</v>
      </c>
    </row>
    <row r="470" spans="1:11">
      <c r="A470" t="s">
        <v>917</v>
      </c>
      <c r="B470" t="s">
        <v>918</v>
      </c>
      <c r="K470" t="str" cm="1">
        <f t="array" ref="K470">INDEX(Tbl_Translations[[#This Row],[Language 1]:[Language 10]],IFERROR(MATCH(Introduction!$C$22,Tbl_Langauges[Language],0),1))</f>
        <v>INTRODUCTION</v>
      </c>
    </row>
    <row r="471" spans="1:11">
      <c r="A471" t="s">
        <v>919</v>
      </c>
      <c r="B471" t="s">
        <v>920</v>
      </c>
      <c r="K471" t="str" cm="1">
        <f t="array" ref="K471">INDEX(Tbl_Translations[[#This Row],[Language 1]:[Language 10]],IFERROR(MATCH(Introduction!$C$22,Tbl_Langauges[Language],0),1))</f>
        <v xml:space="preserve"> of 12 questions answered</v>
      </c>
    </row>
    <row r="472" spans="1:11">
      <c r="A472" t="s">
        <v>921</v>
      </c>
      <c r="B472" t="s">
        <v>922</v>
      </c>
      <c r="K472" t="str" cm="1">
        <f t="array" ref="K472">INDEX(Tbl_Translations[[#This Row],[Language 1]:[Language 10]],IFERROR(MATCH(Introduction!$C$22,Tbl_Langauges[Language],0),1))</f>
        <v>Height (m) by Rocket</v>
      </c>
    </row>
    <row r="473" spans="1:11">
      <c r="A473" t="s">
        <v>923</v>
      </c>
      <c r="B473" t="s">
        <v>924</v>
      </c>
      <c r="K473" t="str" cm="1">
        <f t="array" ref="K473">INDEX(Tbl_Translations[[#This Row],[Language 1]:[Language 10]],IFERROR(MATCH(Introduction!$C$22,Tbl_Langauges[Language],0),1))</f>
        <v>Q</v>
      </c>
    </row>
    <row r="474" spans="1:11">
      <c r="A474" t="s">
        <v>925</v>
      </c>
      <c r="B474" t="s">
        <v>926</v>
      </c>
      <c r="K474" t="str" cm="1">
        <f t="array" ref="K474">INDEX(Tbl_Translations[[#This Row],[Language 1]:[Language 10]],IFERROR(MATCH(Introduction!$C$22,Tbl_Langauges[Language],0),1))</f>
        <v>Payload (kg) by Rocket</v>
      </c>
    </row>
    <row r="475" spans="1:11">
      <c r="A475" t="s">
        <v>927</v>
      </c>
      <c r="B475" t="s">
        <v>928</v>
      </c>
      <c r="K475" t="str" cm="1">
        <f t="array" ref="K475">INDEX(Tbl_Translations[[#This Row],[Language 1]:[Language 10]],IFERROR(MATCH(Introduction!$C$22,Tbl_Langauges[Language],0),1))</f>
        <v>Introduction to Data Visualization</v>
      </c>
    </row>
    <row r="476" spans="1:11">
      <c r="A476" t="s">
        <v>929</v>
      </c>
      <c r="B476" t="s">
        <v>930</v>
      </c>
      <c r="K476" t="str" cm="1">
        <f t="array" ref="K476">INDEX(Tbl_Translations[[#This Row],[Language 1]:[Language 10]],IFERROR(MATCH(Introduction!$C$22,Tbl_Langauges[Language],0),1))</f>
        <v xml:space="preserve">for the successful completion of the Introduction to Data Visualization experience! </v>
      </c>
    </row>
    <row r="477" spans="1:11">
      <c r="A477" t="s">
        <v>931</v>
      </c>
      <c r="B477" t="s">
        <v>932</v>
      </c>
      <c r="K477" t="str" cm="1">
        <f t="array" ref="K477">INDEX(Tbl_Translations[[#This Row],[Language 1]:[Language 10]],IFERROR(MATCH(Introduction!$C$22,Tbl_Langauges[Language],0),1))</f>
        <v>Cost per kg ($/kg)</v>
      </c>
    </row>
  </sheetData>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545F1-42E5-4881-8E3F-25F7CA51311D}">
  <sheetPr codeName="Sheet6">
    <tabColor theme="3"/>
  </sheetPr>
  <dimension ref="B2:AF61"/>
  <sheetViews>
    <sheetView topLeftCell="Q1" workbookViewId="0">
      <selection activeCell="P25" sqref="P25:U26"/>
    </sheetView>
  </sheetViews>
  <sheetFormatPr defaultRowHeight="16.5"/>
  <cols>
    <col min="2" max="3" width="13.625" customWidth="1"/>
    <col min="4" max="5" width="13.375" customWidth="1"/>
    <col min="6" max="6" width="10.875" customWidth="1"/>
    <col min="7" max="8" width="11.75" customWidth="1"/>
    <col min="9" max="9" width="18.25" customWidth="1"/>
    <col min="10" max="10" width="13.75" customWidth="1"/>
    <col min="11" max="11" width="15" customWidth="1"/>
    <col min="12" max="12" width="10.5" customWidth="1"/>
    <col min="14" max="14" width="12" customWidth="1"/>
    <col min="20" max="20" width="9.125" customWidth="1"/>
    <col min="21" max="21" width="12.375" customWidth="1"/>
    <col min="22" max="22" width="15" customWidth="1"/>
    <col min="23" max="23" width="20" customWidth="1"/>
    <col min="24" max="24" width="18" customWidth="1"/>
    <col min="25" max="25" width="26.375" customWidth="1"/>
    <col min="26" max="26" width="12" customWidth="1"/>
    <col min="27" max="27" width="10.625" customWidth="1"/>
  </cols>
  <sheetData>
    <row r="2" spans="2:32">
      <c r="B2" t="str">
        <f>Translations!K17</f>
        <v>Title</v>
      </c>
      <c r="C2" t="str">
        <f>Translations!K124</f>
        <v>Text</v>
      </c>
    </row>
    <row r="3" spans="2:32">
      <c r="B3" t="str">
        <f>Translations!K79</f>
        <v>Choose me!</v>
      </c>
      <c r="C3" t="str">
        <f>Translations!K81</f>
        <v>Select the box that says "Choose me!" and the gray "dropdown" box. This brings up a menu that shows what else you can select. Choose "Switch to me!".</v>
      </c>
    </row>
    <row r="4" spans="2:32">
      <c r="B4" t="str">
        <f>Translations!K80</f>
        <v>Switch to me!</v>
      </c>
      <c r="C4" t="str">
        <f>Translations!K82</f>
        <v>Great job! Now you're ready to begin the activities. Throughout this workbook, you will have questions to check your understanding. Answer these, and you can earn a Space Data Badge!</v>
      </c>
    </row>
    <row r="6" spans="2:32">
      <c r="T6" t="str" cm="1">
        <f t="array" ref="T6">IF(DD_P3_StepNum=1,"Stacked column chart",INDEX(TblB_P3_DD[Dropdown],T7))</f>
        <v>Stacked column chart</v>
      </c>
    </row>
    <row r="7" spans="2:32">
      <c r="N7" s="5">
        <f>IFERROR(MATCH(DD_P2_Step,TblB_P2_DD[Dropdown],0),1)</f>
        <v>1</v>
      </c>
      <c r="T7" s="5">
        <f>IFERROR(MATCH(DD_P3_Step,TblB_P3_DD[Dropdown],0),1)</f>
        <v>1</v>
      </c>
      <c r="W7">
        <f>IFERROR(MATCH(DD_P4_Step,TblB_P3_DD33[Dropdown],0),1)</f>
        <v>1</v>
      </c>
      <c r="Z7">
        <f>IFERROR(MATCH(DD_P1_Sel,TblB_P1_Steps[Dropdown],0),1)</f>
        <v>1</v>
      </c>
    </row>
    <row r="8" spans="2:32">
      <c r="B8" t="s">
        <v>233</v>
      </c>
      <c r="C8" t="s">
        <v>572</v>
      </c>
      <c r="D8" t="s">
        <v>574</v>
      </c>
      <c r="E8" t="s">
        <v>576</v>
      </c>
      <c r="F8" t="s">
        <v>578</v>
      </c>
      <c r="G8" t="s">
        <v>580</v>
      </c>
      <c r="H8" t="s">
        <v>582</v>
      </c>
      <c r="I8" t="s">
        <v>583</v>
      </c>
      <c r="J8" t="s">
        <v>585</v>
      </c>
      <c r="K8" t="s">
        <v>587</v>
      </c>
      <c r="L8" t="s">
        <v>589</v>
      </c>
      <c r="N8" t="s">
        <v>175</v>
      </c>
      <c r="O8" t="s">
        <v>597</v>
      </c>
      <c r="P8" t="s">
        <v>605</v>
      </c>
      <c r="Q8" t="s">
        <v>130</v>
      </c>
      <c r="T8" t="s">
        <v>175</v>
      </c>
      <c r="U8" t="s">
        <v>597</v>
      </c>
      <c r="W8" t="s">
        <v>175</v>
      </c>
      <c r="X8" t="s">
        <v>597</v>
      </c>
      <c r="Z8" t="s">
        <v>175</v>
      </c>
      <c r="AA8" t="s">
        <v>597</v>
      </c>
      <c r="AB8" t="s">
        <v>933</v>
      </c>
      <c r="AC8" t="s">
        <v>605</v>
      </c>
      <c r="AD8" t="s">
        <v>130</v>
      </c>
      <c r="AE8" t="s">
        <v>934</v>
      </c>
      <c r="AF8" t="s">
        <v>935</v>
      </c>
    </row>
    <row r="9" spans="2:32">
      <c r="B9" t="s">
        <v>565</v>
      </c>
      <c r="C9">
        <v>2002</v>
      </c>
      <c r="D9">
        <v>220</v>
      </c>
      <c r="E9">
        <v>21000</v>
      </c>
      <c r="F9">
        <v>91200</v>
      </c>
      <c r="G9">
        <v>668000</v>
      </c>
      <c r="H9">
        <f>1000000*Table23[[#This Row],[Launch Cost]]/Table23[[#This Row],[Payload]]</f>
        <v>10476.190476190477</v>
      </c>
      <c r="I9" s="21">
        <f>Table23[[#This Row],[Payload]]/SUM(Table23[[#This Row],[Payload]:[Dry mass]])</f>
        <v>0.18716577540106952</v>
      </c>
      <c r="J9">
        <f>Table23[[#This Row],[Payload]]</f>
        <v>21000</v>
      </c>
      <c r="K9">
        <f>Table23[[#This Row],[Dry mass]]</f>
        <v>91200</v>
      </c>
      <c r="L9" cm="1">
        <f t="array" ref="L9">_xlfn.SWITCH($T$7,3,NA(),Table23[[#This Row],[Propellant]])</f>
        <v>668000</v>
      </c>
      <c r="N9" t="str">
        <f>Translations!K306</f>
        <v>What is a column chart?</v>
      </c>
      <c r="O9" t="str">
        <f>Translations!K310</f>
        <v>A column chart is a way to visualize data that uses the size of vertical bars to quickly show a value. The brain can interpret differences in sizes faster than in numbers, and a column chart utilizes this to great effect.</v>
      </c>
      <c r="P9" t="str">
        <f>Translations!K314</f>
        <v>A column chart is a way to visualize data that uses the size of boxes to quickly show a value. The data on this chart is simply a visualization of the table below it, but shown in a way that is easier for a person to interpret.</v>
      </c>
      <c r="T9" t="str">
        <f>Translations!K316</f>
        <v>What is a stacked column chart?</v>
      </c>
      <c r="U9" t="str">
        <f>Translations!K319</f>
        <v>A stacked column chart allows proportional comparisons between items by adding COLOR. Each colored section in a column represents a percentage of the total being measured.</v>
      </c>
      <c r="W9" t="str">
        <f>Translations!K322</f>
        <v>What is a scatter chart?</v>
      </c>
      <c r="X9" t="str">
        <f>Translations!K325</f>
        <v>Scatter charts allow for patterns in the data to be visualized. With each dot representing the POSITION of  each data point, trends can be found and used to predict future outcomes!</v>
      </c>
      <c r="Z9" t="str">
        <f>Translations!K328</f>
        <v>What is a chart?</v>
      </c>
      <c r="AA9" t="str">
        <f>Translations!K333</f>
        <v>A chart is a visual representation of data from a worksheet that can help you understand more from the data than just using numbers.</v>
      </c>
      <c r="AB9" cm="1">
        <f t="array" ref="AB9">IF(DD_P1_SelNum=(ROW()-ROW(TblB_P1_Steps[[#Headers],[Dropdown]:[Text1]])),1,0)</f>
        <v>1</v>
      </c>
      <c r="AC9" t="str">
        <f>Translations!K338</f>
        <v>Excel has a wide variety of charts that can be used to generate insights.</v>
      </c>
      <c r="AD9" t="str">
        <f>TblB_P1_Steps[[#This Row],[Text1]]&amp;"
"&amp;TblB_P1_Steps[[#This Row],[Text2]]</f>
        <v>A chart is a visual representation of data from a worksheet that can help you understand more from the data than just using numbers.
Excel has a wide variety of charts that can be used to generate insights.</v>
      </c>
      <c r="AE9" t="s">
        <v>936</v>
      </c>
      <c r="AF9" t="s">
        <v>936</v>
      </c>
    </row>
    <row r="10" spans="2:32">
      <c r="B10" t="s">
        <v>566</v>
      </c>
      <c r="C10">
        <v>1996</v>
      </c>
      <c r="D10">
        <v>180</v>
      </c>
      <c r="E10">
        <v>16000</v>
      </c>
      <c r="F10">
        <v>95000</v>
      </c>
      <c r="G10">
        <v>640000</v>
      </c>
      <c r="H10">
        <f>1000000*Table23[[#This Row],[Launch Cost]]/Table23[[#This Row],[Payload]]</f>
        <v>11250</v>
      </c>
      <c r="I10" s="21">
        <f>Table23[[#This Row],[Payload]]/SUM(Table23[[#This Row],[Payload]:[Dry mass]])</f>
        <v>0.14414414414414414</v>
      </c>
      <c r="J10">
        <f>Table23[[#This Row],[Payload]]</f>
        <v>16000</v>
      </c>
      <c r="K10">
        <f>Table23[[#This Row],[Dry mass]]</f>
        <v>95000</v>
      </c>
      <c r="L10" cm="1">
        <f t="array" ref="L10">_xlfn.SWITCH($T$7,3,NA(),Table23[[#This Row],[Propellant]])</f>
        <v>640000</v>
      </c>
      <c r="N10" t="str">
        <f>Translations!K307</f>
        <v>What is rocket payload?</v>
      </c>
      <c r="O10" t="str">
        <f>Translations!K311</f>
        <v>The crew and/ or cargo that is carried into space by a rocket is called the payload. Here you can compare the differences in payload mass for 9 different rockets.</v>
      </c>
      <c r="P10" t="str">
        <f>Translations!K315</f>
        <v xml:space="preserve">A payload for a rocket is the cargo, crew, or other objects carried to space. </v>
      </c>
      <c r="T10" t="str">
        <f>Translations!K317</f>
        <v>Rocket mass proportions</v>
      </c>
      <c r="U10" t="str">
        <f>Translations!K320</f>
        <v>The total mass of a rocket can be divided into three categories; fuel, structure and payload. As you can see, the largest proportion of a rocket's mass is fuel, followed by its structure and then payload.</v>
      </c>
      <c r="W10" t="str">
        <f>Translations!K323</f>
        <v>Using trendlines</v>
      </c>
      <c r="X10" t="str">
        <f>Translations!K326</f>
        <v>A key method to see patterns in a scatter plot is to use a TRENDLINE. A trendline is line that "best fits" between all of the points on the chart. Look how this linear best fit trendline is lined up along the points revealing a relationship between year and cost!</v>
      </c>
      <c r="Z10" t="str">
        <f>Translations!K329</f>
        <v>Column charts</v>
      </c>
      <c r="AA10" t="str">
        <f>Translations!K334</f>
        <v>Data that is arranged in columns or rows on a worksheet can be organized in a column chart. These charts are helpful when comparing categories (typically text names) by their value.</v>
      </c>
      <c r="AB10" cm="1">
        <f t="array" ref="AB10">IF(DD_P1_SelNum=(ROW()-ROW(TblB_P1_Steps[[#Headers],[Dropdown]:[Text1]])),1,0)</f>
        <v>0</v>
      </c>
      <c r="AC10" t="str">
        <f>Translations!K339</f>
        <v>SIZE tells the story with column charts. Notice how it is labeled. Names and values indicate what the data is, while the axis and chart titles provide context.</v>
      </c>
      <c r="AD10" t="str">
        <f>TblB_P1_Steps[[#This Row],[Text1]]&amp;"
"&amp;TblB_P1_Steps[[#This Row],[Text2]]</f>
        <v>Data that is arranged in columns or rows on a worksheet can be organized in a column chart. These charts are helpful when comparing categories (typically text names) by their value.
SIZE tells the story with column charts. Notice how it is labeled. Names and values indicate what the data is, while the axis and chart titles provide context.</v>
      </c>
      <c r="AE10" t="str">
        <f>Translations!K343</f>
        <v>The vertical axis shows the value of the data through SIZE.</v>
      </c>
      <c r="AF10" t="str">
        <f>Translations!K347</f>
        <v>The horizontal axis separates the values by their category.</v>
      </c>
    </row>
    <row r="11" spans="2:32">
      <c r="B11" t="s">
        <v>567</v>
      </c>
      <c r="C11">
        <v>2006</v>
      </c>
      <c r="D11">
        <v>110</v>
      </c>
      <c r="E11">
        <v>19000</v>
      </c>
      <c r="F11">
        <v>44000</v>
      </c>
      <c r="G11">
        <v>520000</v>
      </c>
      <c r="H11">
        <f>1000000*Table23[[#This Row],[Launch Cost]]/Table23[[#This Row],[Payload]]</f>
        <v>5789.4736842105267</v>
      </c>
      <c r="I11" s="21">
        <f>Table23[[#This Row],[Payload]]/SUM(Table23[[#This Row],[Payload]:[Dry mass]])</f>
        <v>0.30158730158730157</v>
      </c>
      <c r="J11">
        <f>Table23[[#This Row],[Payload]]</f>
        <v>19000</v>
      </c>
      <c r="K11">
        <f>Table23[[#This Row],[Dry mass]]</f>
        <v>44000</v>
      </c>
      <c r="L11" cm="1">
        <f t="array" ref="L11">_xlfn.SWITCH($T$7,3,NA(),Table23[[#This Row],[Propellant]])</f>
        <v>520000</v>
      </c>
      <c r="N11" t="str">
        <f>Translations!K308</f>
        <v>Organizing your chart</v>
      </c>
      <c r="O11" t="str">
        <f>Translations!K312</f>
        <v>Charts are made from data in the table. You can rearrange the chart by SORTING your data, using the small gray "filter" button in the column heading. Sort the Launch Year in ASCENDING order (smallest to largest) to see how it changes the chart!</v>
      </c>
      <c r="T11" t="str">
        <f>Translations!K318</f>
        <v>Payload-structure comparison</v>
      </c>
      <c r="U11" t="str">
        <f>Translations!K321</f>
        <v>In this chart, we have removed the fuel mass category to compare only the rocket structure and payload masses. Sort the launch year category in ASCENDING order. Notice how the proportions change over time.</v>
      </c>
      <c r="W11" t="str">
        <f>Translations!K324</f>
        <v>Forecasting</v>
      </c>
      <c r="X11" t="str">
        <f>Translations!K327</f>
        <v>Once your chart has a trendline, you can use it to 'forecast' (or predict) that pattern into the future. Forecasting can also help see if the pattern makes sense going forward.</v>
      </c>
      <c r="Z11" t="str">
        <f>Translations!K330</f>
        <v>100% stacked column charts</v>
      </c>
      <c r="AA11" t="str">
        <f>Translations!K335</f>
        <v>A 100% stacked column chart shows values in columns that are stacked on top of each other to represent 100%. Use this chart when you want to compare the contributions to the whole, such as sections of a rocket!</v>
      </c>
      <c r="AB11" cm="1">
        <f t="array" ref="AB11">IF(DD_P1_SelNum=(ROW()-ROW(TblB_P1_Steps[[#Headers],[Dropdown]:[Text1]])),1,0)</f>
        <v>0</v>
      </c>
      <c r="AC11" t="str">
        <f>Translations!K340</f>
        <v>Notice how this column chart introduces COLOR. While it has the same x axis, it adds color to represent different componets. The legend is used to show what the colors represent.</v>
      </c>
      <c r="AD11" t="str">
        <f>TblB_P1_Steps[[#This Row],[Text1]]&amp;"
"&amp;TblB_P1_Steps[[#This Row],[Text2]]</f>
        <v>A 100% stacked column chart shows values in columns that are stacked on top of each other to represent 100%. Use this chart when you want to compare the contributions to the whole, such as sections of a rocket!
Notice how this column chart introduces COLOR. While it has the same x axis, it adds color to represent different componets. The legend is used to show what the colors represent.</v>
      </c>
      <c r="AE11" t="str">
        <f>Translations!K344</f>
        <v>The vertical axis shows proportion with different COLOR segments.</v>
      </c>
      <c r="AF11" t="str">
        <f>Translations!K347</f>
        <v>The horizontal axis separates the values by their category.</v>
      </c>
    </row>
    <row r="12" spans="2:32">
      <c r="B12" t="s">
        <v>568</v>
      </c>
      <c r="C12">
        <v>2010</v>
      </c>
      <c r="D12">
        <v>62</v>
      </c>
      <c r="E12">
        <v>10500</v>
      </c>
      <c r="F12">
        <v>25000</v>
      </c>
      <c r="G12">
        <v>390000</v>
      </c>
      <c r="H12">
        <f>1000000*Table23[[#This Row],[Launch Cost]]/Table23[[#This Row],[Payload]]</f>
        <v>5904.7619047619046</v>
      </c>
      <c r="I12" s="21">
        <f>Table23[[#This Row],[Payload]]/SUM(Table23[[#This Row],[Payload]:[Dry mass]])</f>
        <v>0.29577464788732394</v>
      </c>
      <c r="J12">
        <f>Table23[[#This Row],[Payload]]</f>
        <v>10500</v>
      </c>
      <c r="K12">
        <f>Table23[[#This Row],[Dry mass]]</f>
        <v>25000</v>
      </c>
      <c r="L12" cm="1">
        <f t="array" ref="L12">_xlfn.SWITCH($T$7,3,NA(),Table23[[#This Row],[Propellant]])</f>
        <v>390000</v>
      </c>
      <c r="Z12" t="str">
        <f>Translations!K331</f>
        <v>Scatter charts</v>
      </c>
      <c r="AA12" t="str">
        <f>Translations!K336</f>
        <v>A scatter chart is handy when you have two sets of value data and you are curious what trends there are between them. These trends can help predict future data as well.</v>
      </c>
      <c r="AB12" cm="1">
        <f t="array" ref="AB12">IF(DD_P1_SelNum=(ROW()-ROW(TblB_P1_Steps[[#Headers],[Dropdown]:[Text1]])),1,0)</f>
        <v>0</v>
      </c>
      <c r="AC12" t="str">
        <f>Translations!K341</f>
        <v>Notice how a scatter chart has two value axes: a horizontal x-axis (Year) and a vertical y-axis (Cost). It combines those x and y POSITIONS into points, which can then be used to find patterns, or 'relationships'.</v>
      </c>
      <c r="AD12" t="str">
        <f>TblB_P1_Steps[[#This Row],[Text1]]&amp;"
"&amp;TblB_P1_Steps[[#This Row],[Text2]]</f>
        <v>A scatter chart is handy when you have two sets of value data and you are curious what trends there are between them. These trends can help predict future data as well.
Notice how a scatter chart has two value axes: a horizontal x-axis (Year) and a vertical y-axis (Cost). It combines those x and y POSITIONS into points, which can then be used to find patterns, or 'relationships'.</v>
      </c>
      <c r="AE12" t="str">
        <f>Translations!K345</f>
        <v>The vertical axis shows the POSITION of the values on the y-axis.</v>
      </c>
      <c r="AF12" t="str">
        <f>Translations!K348</f>
        <v>The horizontal axis shows the POSITION of the values on the x-axis.</v>
      </c>
    </row>
    <row r="13" spans="2:32">
      <c r="B13" t="s">
        <v>221</v>
      </c>
      <c r="C13">
        <v>2018</v>
      </c>
      <c r="D13">
        <v>65</v>
      </c>
      <c r="E13">
        <v>15600</v>
      </c>
      <c r="F13">
        <v>30650</v>
      </c>
      <c r="G13">
        <v>518400</v>
      </c>
      <c r="H13">
        <f>1000000*Table23[[#This Row],[Launch Cost]]/Table23[[#This Row],[Payload]]</f>
        <v>4166.666666666667</v>
      </c>
      <c r="I13" s="21">
        <f>Table23[[#This Row],[Payload]]/SUM(Table23[[#This Row],[Payload]:[Dry mass]])</f>
        <v>0.33729729729729729</v>
      </c>
      <c r="J13">
        <f>Table23[[#This Row],[Payload]]</f>
        <v>15600</v>
      </c>
      <c r="K13">
        <f>Table23[[#This Row],[Dry mass]]</f>
        <v>30650</v>
      </c>
      <c r="L13" cm="1">
        <f t="array" ref="L13">_xlfn.SWITCH($T$7,3,NA(),Table23[[#This Row],[Propellant]])</f>
        <v>518400</v>
      </c>
      <c r="N13">
        <f>IF(DD_P2_StepNum=3,1,0)</f>
        <v>0</v>
      </c>
      <c r="Z13" t="str">
        <f>Translations!K332</f>
        <v>Stacked area charts</v>
      </c>
      <c r="AA13" t="str">
        <f>Translations!K337</f>
        <v>Stacked area charts show patterns in the contribution of each value over time (or other category), which helps you tell how the different categories change!</v>
      </c>
      <c r="AB13" cm="1">
        <f t="array" ref="AB13">IF(DD_P1_SelNum=(ROW()-ROW(TblB_P1_Steps[[#Headers],[Dropdown]:[Text1]])),1,0)</f>
        <v>0</v>
      </c>
      <c r="AC13" t="str">
        <f>Translations!K342</f>
        <v>Notice how SIZE, COLOR, AND POSITION all play a role in the stacked area chart. Color separates the who area into different pieces, with vertical size showing the 'value' while the horizontal position indicates the timeframe.</v>
      </c>
      <c r="AD13" t="str">
        <f>TblB_P1_Steps[[#This Row],[Text1]]&amp;"
"&amp;TblB_P1_Steps[[#This Row],[Text2]]</f>
        <v>Stacked area charts show patterns in the contribution of each value over time (or other category), which helps you tell how the different categories change!
Notice how SIZE, COLOR, AND POSITION all play a role in the stacked area chart. Color separates the who area into different pieces, with vertical size showing the 'value' while the horizontal position indicates the timeframe.</v>
      </c>
      <c r="AE13" t="str">
        <f>Translations!K346</f>
        <v>The vertical axis shows the SIZE of the values, with the categories separated by COLOR.</v>
      </c>
      <c r="AF13" t="str">
        <f>Translations!K349</f>
        <v>The horizontal axis shows the categories or the POSITION of the time values.</v>
      </c>
    </row>
    <row r="14" spans="2:32">
      <c r="B14" t="s">
        <v>569</v>
      </c>
      <c r="C14">
        <v>2001</v>
      </c>
      <c r="D14">
        <v>123</v>
      </c>
      <c r="E14">
        <v>10000</v>
      </c>
      <c r="F14">
        <v>37000</v>
      </c>
      <c r="G14">
        <v>285000</v>
      </c>
      <c r="H14">
        <f>1000000*Table23[[#This Row],[Launch Cost]]/Table23[[#This Row],[Payload]]</f>
        <v>12300</v>
      </c>
      <c r="I14" s="21">
        <f>Table23[[#This Row],[Payload]]/SUM(Table23[[#This Row],[Payload]:[Dry mass]])</f>
        <v>0.21276595744680851</v>
      </c>
      <c r="J14">
        <f>Table23[[#This Row],[Payload]]</f>
        <v>10000</v>
      </c>
      <c r="K14">
        <f>Table23[[#This Row],[Dry mass]]</f>
        <v>37000</v>
      </c>
      <c r="L14" cm="1">
        <f t="array" ref="L14">_xlfn.SWITCH($T$7,3,NA(),Table23[[#This Row],[Propellant]])</f>
        <v>285000</v>
      </c>
      <c r="N14">
        <f>1-N13</f>
        <v>1</v>
      </c>
      <c r="T14">
        <f>IF(T7=1,1,NA())</f>
        <v>1</v>
      </c>
      <c r="U14">
        <f>IF(DD_P3_StepNum=3,1,0)</f>
        <v>0</v>
      </c>
      <c r="W14">
        <f>IF(W7=1,1,NA())</f>
        <v>1</v>
      </c>
    </row>
    <row r="15" spans="2:32">
      <c r="B15" t="s">
        <v>223</v>
      </c>
      <c r="C15">
        <v>1999</v>
      </c>
      <c r="D15">
        <v>82</v>
      </c>
      <c r="E15">
        <v>8600</v>
      </c>
      <c r="F15">
        <v>40000</v>
      </c>
      <c r="G15">
        <v>424000</v>
      </c>
      <c r="H15">
        <f>1000000*Table23[[#This Row],[Launch Cost]]/Table23[[#This Row],[Payload]]</f>
        <v>9534.8837209302328</v>
      </c>
      <c r="I15" s="21">
        <f>Table23[[#This Row],[Payload]]/SUM(Table23[[#This Row],[Payload]:[Dry mass]])</f>
        <v>0.17695473251028807</v>
      </c>
      <c r="J15">
        <f>Table23[[#This Row],[Payload]]</f>
        <v>8600</v>
      </c>
      <c r="K15">
        <f>Table23[[#This Row],[Dry mass]]</f>
        <v>40000</v>
      </c>
      <c r="L15" cm="1">
        <f t="array" ref="L15">_xlfn.SWITCH($T$7,3,NA(),Table23[[#This Row],[Propellant]])</f>
        <v>424000</v>
      </c>
      <c r="T15" t="e">
        <f>IF($T$7=1,NA(),1)</f>
        <v>#N/A</v>
      </c>
      <c r="U15">
        <f>1-U14</f>
        <v>1</v>
      </c>
      <c r="W15" t="e">
        <f>IF(W7=1,NA(),1)</f>
        <v>#N/A</v>
      </c>
    </row>
    <row r="16" spans="2:32">
      <c r="B16" t="s">
        <v>570</v>
      </c>
      <c r="C16">
        <v>2021</v>
      </c>
      <c r="D16">
        <v>500</v>
      </c>
      <c r="E16">
        <v>95000</v>
      </c>
      <c r="F16">
        <v>169000</v>
      </c>
      <c r="G16">
        <v>2293000</v>
      </c>
      <c r="H16">
        <f>1000000*Table23[[#This Row],[Launch Cost]]/Table23[[#This Row],[Payload]]</f>
        <v>5263.1578947368425</v>
      </c>
      <c r="I16" s="21">
        <f>Table23[[#This Row],[Payload]]/SUM(Table23[[#This Row],[Payload]:[Dry mass]])</f>
        <v>0.35984848484848486</v>
      </c>
      <c r="J16">
        <f>Table23[[#This Row],[Payload]]</f>
        <v>95000</v>
      </c>
      <c r="K16">
        <f>Table23[[#This Row],[Dry mass]]</f>
        <v>169000</v>
      </c>
      <c r="L16" cm="1">
        <f t="array" ref="L16">_xlfn.SWITCH($T$7,3,NA(),Table23[[#This Row],[Propellant]])</f>
        <v>2293000</v>
      </c>
    </row>
    <row r="17" spans="2:32">
      <c r="B17" t="s">
        <v>571</v>
      </c>
      <c r="C17">
        <v>2004</v>
      </c>
      <c r="D17">
        <v>80</v>
      </c>
      <c r="E17">
        <v>7020</v>
      </c>
      <c r="F17">
        <v>25000</v>
      </c>
      <c r="G17">
        <v>277000</v>
      </c>
      <c r="H17">
        <f>1000000*Table23[[#This Row],[Launch Cost]]/Table23[[#This Row],[Payload]]</f>
        <v>11396.011396011396</v>
      </c>
      <c r="I17" s="21">
        <f>Table23[[#This Row],[Payload]]/SUM(Table23[[#This Row],[Payload]:[Dry mass]])</f>
        <v>0.21923797626483449</v>
      </c>
      <c r="J17">
        <f>Table23[[#This Row],[Payload]]</f>
        <v>7020</v>
      </c>
      <c r="K17">
        <f>Table23[[#This Row],[Dry mass]]</f>
        <v>25000</v>
      </c>
      <c r="L17" cm="1">
        <f t="array" ref="L17">_xlfn.SWITCH($T$7,3,NA(),Table23[[#This Row],[Propellant]])</f>
        <v>277000</v>
      </c>
    </row>
    <row r="18" spans="2:32">
      <c r="I18" s="21"/>
      <c r="U18" t="s">
        <v>233</v>
      </c>
      <c r="V18" t="s">
        <v>572</v>
      </c>
      <c r="W18" t="s">
        <v>574</v>
      </c>
      <c r="X18" t="s">
        <v>576</v>
      </c>
      <c r="Y18" t="s">
        <v>578</v>
      </c>
      <c r="Z18" t="s">
        <v>580</v>
      </c>
      <c r="AA18" t="s">
        <v>582</v>
      </c>
      <c r="AB18" t="s">
        <v>583</v>
      </c>
      <c r="AC18" t="s">
        <v>585</v>
      </c>
      <c r="AD18" t="s">
        <v>587</v>
      </c>
      <c r="AE18" t="s">
        <v>589</v>
      </c>
      <c r="AF18" t="s">
        <v>937</v>
      </c>
    </row>
    <row r="19" spans="2:32">
      <c r="U19" t="s">
        <v>565</v>
      </c>
      <c r="V19">
        <v>2002</v>
      </c>
      <c r="W19">
        <v>220</v>
      </c>
      <c r="X19">
        <v>21000</v>
      </c>
      <c r="Y19">
        <v>91200</v>
      </c>
      <c r="Z19">
        <v>668000</v>
      </c>
      <c r="AA19">
        <f>1000000*Table236[[#This Row],[Launch Cost]]/Table236[[#This Row],[Payload]]</f>
        <v>10476.190476190477</v>
      </c>
      <c r="AB19">
        <f>Table236[[#This Row],[Payload]]/SUM(Table236[[#This Row],[Payload]:[Dry mass]])</f>
        <v>0.18716577540106952</v>
      </c>
      <c r="AC19">
        <f>Table236[[#This Row],[Payload]]</f>
        <v>21000</v>
      </c>
      <c r="AD19" cm="1">
        <f t="array" ref="AD19">_xlfn.SWITCH($T$7,1,Table236[[#This Row],[Dry mass]],2,Table236[[#This Row],[Dry mass]],3,NA(),4,Table236[[#This Row],[Dry mass]])</f>
        <v>91200</v>
      </c>
      <c r="AE19" cm="1">
        <f t="array" ref="AE19">_xlfn.SWITCH($T$7,1,Table236[[#This Row],[Propellant]],2,Table236[[#This Row],[Propellant]],3,Table236[[#This Row],[Propellant]],4,NA())</f>
        <v>668000</v>
      </c>
    </row>
    <row r="20" spans="2:32">
      <c r="B20" t="s">
        <v>231</v>
      </c>
      <c r="C20" t="s">
        <v>233</v>
      </c>
      <c r="D20" t="s">
        <v>572</v>
      </c>
      <c r="E20" t="s">
        <v>574</v>
      </c>
      <c r="F20" t="s">
        <v>576</v>
      </c>
      <c r="G20" t="s">
        <v>578</v>
      </c>
      <c r="H20" t="s">
        <v>580</v>
      </c>
      <c r="I20" t="s">
        <v>582</v>
      </c>
      <c r="J20" t="s">
        <v>938</v>
      </c>
      <c r="K20" t="s">
        <v>585</v>
      </c>
      <c r="L20" t="s">
        <v>587</v>
      </c>
      <c r="M20" t="s">
        <v>589</v>
      </c>
      <c r="N20" t="s">
        <v>939</v>
      </c>
      <c r="U20" t="s">
        <v>566</v>
      </c>
      <c r="V20">
        <v>1996</v>
      </c>
      <c r="W20">
        <v>180</v>
      </c>
      <c r="X20">
        <v>16000</v>
      </c>
      <c r="Y20">
        <v>95000</v>
      </c>
      <c r="Z20">
        <v>640000</v>
      </c>
      <c r="AA20">
        <f>1000000*Table236[[#This Row],[Launch Cost]]/Table236[[#This Row],[Payload]]</f>
        <v>11250</v>
      </c>
      <c r="AB20">
        <f>Table236[[#This Row],[Payload]]/SUM(Table236[[#This Row],[Payload]:[Dry mass]])</f>
        <v>0.14414414414414414</v>
      </c>
      <c r="AC20">
        <f>Table236[[#This Row],[Payload]]</f>
        <v>16000</v>
      </c>
      <c r="AD20" cm="1">
        <f t="array" ref="AD20">_xlfn.SWITCH($T$7,1,Table236[[#This Row],[Dry mass]],2,Table236[[#This Row],[Dry mass]],3,NA(),4,Table236[[#This Row],[Dry mass]])</f>
        <v>95000</v>
      </c>
      <c r="AE20" cm="1">
        <f t="array" ref="AE20">_xlfn.SWITCH($T$7,1,Table236[[#This Row],[Propellant]],2,Table236[[#This Row],[Propellant]],3,Table236[[#This Row],[Propellant]],4,NA())</f>
        <v>640000</v>
      </c>
    </row>
    <row r="21" spans="2:32">
      <c r="B21" cm="1">
        <f t="array" ref="B21">ROW()-ROW(Table29[#Headers])</f>
        <v>1</v>
      </c>
      <c r="C21" t="str">
        <f>Table29[[#This Row],[Column1]]&amp;"
"&amp;Table29[[#This Row],[Year]]</f>
        <v>Ariane 5 ECA
2002</v>
      </c>
      <c r="D21">
        <f>_xlfn.XLOOKUP(Table29[[#This Row],[Column1]],Table23[Rocket],Table23[Year])</f>
        <v>2002</v>
      </c>
      <c r="E21">
        <f>_xlfn.XLOOKUP(Table29[[#This Row],[Column1]],Table23[Rocket],Table23[Launch Cost])</f>
        <v>220</v>
      </c>
      <c r="F21">
        <f>_xlfn.XLOOKUP(Table29[[#This Row],[Column1]],Table23[Rocket],Table23[Payload])</f>
        <v>21000</v>
      </c>
      <c r="G21">
        <f>_xlfn.XLOOKUP(Table29[[#This Row],[Column1]],Table23[Rocket],Table23[Dry mass])</f>
        <v>91200</v>
      </c>
      <c r="H21">
        <f>_xlfn.XLOOKUP(Table29[[#This Row],[Column1]],Table23[Rocket],Table23[Propellant])</f>
        <v>668000</v>
      </c>
      <c r="I21">
        <f>_xlfn.XLOOKUP(Table29[[#This Row],[Column1]],Table23[Rocket],Table23[$/kg])</f>
        <v>10476.190476190477</v>
      </c>
      <c r="J21">
        <f>_xlfn.XLOOKUP(Table29[[#This Row],[Column1]],Table23[Rocket],Table23[Payload-dry mass])</f>
        <v>0.18716577540106952</v>
      </c>
      <c r="K21">
        <f>_xlfn.XLOOKUP(Table29[[#This Row],[Column1]],Table23[Rocket],Table23[Payload (kg)])</f>
        <v>21000</v>
      </c>
      <c r="L21">
        <f>_xlfn.XLOOKUP(Table29[[#This Row],[Column1]],Table23[Rocket],Table23[Dry mass (kg)])</f>
        <v>91200</v>
      </c>
      <c r="M21">
        <f>_xlfn.XLOOKUP(Table29[[#This Row],[Column1]],Table23[Rocket],Table23[Fuel (kg)])</f>
        <v>668000</v>
      </c>
      <c r="N21" t="str" cm="1">
        <f t="array" ref="N21">INDEX(Tbl_P3F[Rocket name],Table29[[#This Row],[Row]])</f>
        <v>Ariane 5 ECA</v>
      </c>
      <c r="U21" t="s">
        <v>567</v>
      </c>
      <c r="V21">
        <v>2006</v>
      </c>
      <c r="W21">
        <v>110</v>
      </c>
      <c r="X21">
        <v>19000</v>
      </c>
      <c r="Y21">
        <v>44000</v>
      </c>
      <c r="Z21">
        <v>520000</v>
      </c>
      <c r="AA21">
        <f>1000000*Table236[[#This Row],[Launch Cost]]/Table236[[#This Row],[Payload]]</f>
        <v>5789.4736842105267</v>
      </c>
      <c r="AB21">
        <f>Table236[[#This Row],[Payload]]/SUM(Table236[[#This Row],[Payload]:[Dry mass]])</f>
        <v>0.30158730158730157</v>
      </c>
      <c r="AC21">
        <f>Table236[[#This Row],[Payload]]</f>
        <v>19000</v>
      </c>
      <c r="AD21" cm="1">
        <f t="array" ref="AD21">_xlfn.SWITCH($T$7,1,Table236[[#This Row],[Dry mass]],2,Table236[[#This Row],[Dry mass]],3,NA(),4,Table236[[#This Row],[Dry mass]])</f>
        <v>44000</v>
      </c>
      <c r="AE21" cm="1">
        <f t="array" ref="AE21">_xlfn.SWITCH($T$7,1,Table236[[#This Row],[Propellant]],2,Table236[[#This Row],[Propellant]],3,Table236[[#This Row],[Propellant]],4,NA())</f>
        <v>520000</v>
      </c>
    </row>
    <row r="22" spans="2:32">
      <c r="B22" cm="1">
        <f t="array" ref="B22">ROW()-ROW(Table29[#Headers])</f>
        <v>2</v>
      </c>
      <c r="C22" t="str">
        <f>Table29[[#This Row],[Column1]]&amp;"
"&amp;Table29[[#This Row],[Year]]</f>
        <v>Ariane 5G
1996</v>
      </c>
      <c r="D22">
        <f>_xlfn.XLOOKUP(Table29[[#This Row],[Column1]],Table23[Rocket],Table23[Year])</f>
        <v>1996</v>
      </c>
      <c r="E22">
        <f>_xlfn.XLOOKUP(Table29[[#This Row],[Column1]],Table23[Rocket],Table23[Launch Cost])</f>
        <v>180</v>
      </c>
      <c r="F22">
        <f>_xlfn.XLOOKUP(Table29[[#This Row],[Column1]],Table23[Rocket],Table23[Payload])</f>
        <v>16000</v>
      </c>
      <c r="G22">
        <f>_xlfn.XLOOKUP(Table29[[#This Row],[Column1]],Table23[Rocket],Table23[Dry mass])</f>
        <v>95000</v>
      </c>
      <c r="H22">
        <f>_xlfn.XLOOKUP(Table29[[#This Row],[Column1]],Table23[Rocket],Table23[Propellant])</f>
        <v>640000</v>
      </c>
      <c r="I22">
        <f>_xlfn.XLOOKUP(Table29[[#This Row],[Column1]],Table23[Rocket],Table23[$/kg])</f>
        <v>11250</v>
      </c>
      <c r="J22">
        <f>_xlfn.XLOOKUP(Table29[[#This Row],[Column1]],Table23[Rocket],Table23[Payload-dry mass])</f>
        <v>0.14414414414414414</v>
      </c>
      <c r="K22">
        <f>_xlfn.XLOOKUP(Table29[[#This Row],[Column1]],Table23[Rocket],Table23[Payload (kg)])</f>
        <v>16000</v>
      </c>
      <c r="L22">
        <f>_xlfn.XLOOKUP(Table29[[#This Row],[Column1]],Table23[Rocket],Table23[Dry mass (kg)])</f>
        <v>95000</v>
      </c>
      <c r="M22">
        <f>_xlfn.XLOOKUP(Table29[[#This Row],[Column1]],Table23[Rocket],Table23[Fuel (kg)])</f>
        <v>640000</v>
      </c>
      <c r="N22" t="str" cm="1">
        <f t="array" ref="N22">INDEX(Tbl_P3F[Rocket name],Table29[[#This Row],[Row]])</f>
        <v>Ariane 5G</v>
      </c>
      <c r="U22" t="s">
        <v>568</v>
      </c>
      <c r="V22">
        <v>2010</v>
      </c>
      <c r="W22">
        <v>62</v>
      </c>
      <c r="X22">
        <v>10500</v>
      </c>
      <c r="Y22">
        <v>25000</v>
      </c>
      <c r="Z22">
        <v>390000</v>
      </c>
      <c r="AA22">
        <f>1000000*Table236[[#This Row],[Launch Cost]]/Table236[[#This Row],[Payload]]</f>
        <v>5904.7619047619046</v>
      </c>
      <c r="AB22">
        <f>Table236[[#This Row],[Payload]]/SUM(Table236[[#This Row],[Payload]:[Dry mass]])</f>
        <v>0.29577464788732394</v>
      </c>
      <c r="AC22">
        <f>Table236[[#This Row],[Payload]]</f>
        <v>10500</v>
      </c>
      <c r="AD22" cm="1">
        <f t="array" ref="AD22">_xlfn.SWITCH($T$7,1,Table236[[#This Row],[Dry mass]],2,Table236[[#This Row],[Dry mass]],3,NA(),4,Table236[[#This Row],[Dry mass]])</f>
        <v>25000</v>
      </c>
      <c r="AE22" cm="1">
        <f t="array" ref="AE22">_xlfn.SWITCH($T$7,1,Table236[[#This Row],[Propellant]],2,Table236[[#This Row],[Propellant]],3,Table236[[#This Row],[Propellant]],4,NA())</f>
        <v>390000</v>
      </c>
    </row>
    <row r="23" spans="2:32">
      <c r="B23" cm="1">
        <f t="array" ref="B23">ROW()-ROW(Table29[#Headers])</f>
        <v>3</v>
      </c>
      <c r="C23" t="str">
        <f>Table29[[#This Row],[Column1]]&amp;"
"&amp;Table29[[#This Row],[Year]]</f>
        <v>Atlas V 551
2006</v>
      </c>
      <c r="D23">
        <f>_xlfn.XLOOKUP(Table29[[#This Row],[Column1]],Table23[Rocket],Table23[Year])</f>
        <v>2006</v>
      </c>
      <c r="E23">
        <f>_xlfn.XLOOKUP(Table29[[#This Row],[Column1]],Table23[Rocket],Table23[Launch Cost])</f>
        <v>110</v>
      </c>
      <c r="F23">
        <f>_xlfn.XLOOKUP(Table29[[#This Row],[Column1]],Table23[Rocket],Table23[Payload])</f>
        <v>19000</v>
      </c>
      <c r="G23">
        <f>_xlfn.XLOOKUP(Table29[[#This Row],[Column1]],Table23[Rocket],Table23[Dry mass])</f>
        <v>44000</v>
      </c>
      <c r="H23">
        <f>_xlfn.XLOOKUP(Table29[[#This Row],[Column1]],Table23[Rocket],Table23[Propellant])</f>
        <v>520000</v>
      </c>
      <c r="I23">
        <f>_xlfn.XLOOKUP(Table29[[#This Row],[Column1]],Table23[Rocket],Table23[$/kg])</f>
        <v>5789.4736842105267</v>
      </c>
      <c r="J23">
        <f>_xlfn.XLOOKUP(Table29[[#This Row],[Column1]],Table23[Rocket],Table23[Payload-dry mass])</f>
        <v>0.30158730158730157</v>
      </c>
      <c r="K23">
        <f>_xlfn.XLOOKUP(Table29[[#This Row],[Column1]],Table23[Rocket],Table23[Payload (kg)])</f>
        <v>19000</v>
      </c>
      <c r="L23">
        <f>_xlfn.XLOOKUP(Table29[[#This Row],[Column1]],Table23[Rocket],Table23[Dry mass (kg)])</f>
        <v>44000</v>
      </c>
      <c r="M23">
        <f>_xlfn.XLOOKUP(Table29[[#This Row],[Column1]],Table23[Rocket],Table23[Fuel (kg)])</f>
        <v>520000</v>
      </c>
      <c r="N23" t="str" cm="1">
        <f t="array" ref="N23">INDEX(Tbl_P3F[Rocket name],Table29[[#This Row],[Row]])</f>
        <v>Atlas V 551</v>
      </c>
      <c r="U23" t="s">
        <v>221</v>
      </c>
      <c r="V23">
        <v>2018</v>
      </c>
      <c r="W23">
        <v>65</v>
      </c>
      <c r="X23">
        <v>15600</v>
      </c>
      <c r="Y23">
        <v>30650</v>
      </c>
      <c r="Z23">
        <v>518400</v>
      </c>
      <c r="AA23">
        <f>1000000*Table236[[#This Row],[Launch Cost]]/Table236[[#This Row],[Payload]]</f>
        <v>4166.666666666667</v>
      </c>
      <c r="AB23">
        <f>Table236[[#This Row],[Payload]]/SUM(Table236[[#This Row],[Payload]:[Dry mass]])</f>
        <v>0.33729729729729729</v>
      </c>
      <c r="AC23">
        <f>Table236[[#This Row],[Payload]]</f>
        <v>15600</v>
      </c>
      <c r="AD23" cm="1">
        <f t="array" ref="AD23">_xlfn.SWITCH($T$7,1,Table236[[#This Row],[Dry mass]],2,Table236[[#This Row],[Dry mass]],3,NA(),4,Table236[[#This Row],[Dry mass]])</f>
        <v>30650</v>
      </c>
      <c r="AE23" cm="1">
        <f t="array" ref="AE23">_xlfn.SWITCH($T$7,1,Table236[[#This Row],[Propellant]],2,Table236[[#This Row],[Propellant]],3,Table236[[#This Row],[Propellant]],4,NA())</f>
        <v>518400</v>
      </c>
    </row>
    <row r="24" spans="2:32">
      <c r="B24" cm="1">
        <f t="array" ref="B24">ROW()-ROW(Table29[#Headers])</f>
        <v>4</v>
      </c>
      <c r="C24" t="str">
        <f>Table29[[#This Row],[Column1]]&amp;"
"&amp;Table29[[#This Row],[Year]]</f>
        <v>Falcon 9
2010</v>
      </c>
      <c r="D24">
        <f>_xlfn.XLOOKUP(Table29[[#This Row],[Column1]],Table23[Rocket],Table23[Year])</f>
        <v>2010</v>
      </c>
      <c r="E24">
        <f>_xlfn.XLOOKUP(Table29[[#This Row],[Column1]],Table23[Rocket],Table23[Launch Cost])</f>
        <v>62</v>
      </c>
      <c r="F24">
        <f>_xlfn.XLOOKUP(Table29[[#This Row],[Column1]],Table23[Rocket],Table23[Payload])</f>
        <v>10500</v>
      </c>
      <c r="G24">
        <f>_xlfn.XLOOKUP(Table29[[#This Row],[Column1]],Table23[Rocket],Table23[Dry mass])</f>
        <v>25000</v>
      </c>
      <c r="H24">
        <f>_xlfn.XLOOKUP(Table29[[#This Row],[Column1]],Table23[Rocket],Table23[Propellant])</f>
        <v>390000</v>
      </c>
      <c r="I24">
        <f>_xlfn.XLOOKUP(Table29[[#This Row],[Column1]],Table23[Rocket],Table23[$/kg])</f>
        <v>5904.7619047619046</v>
      </c>
      <c r="J24">
        <f>_xlfn.XLOOKUP(Table29[[#This Row],[Column1]],Table23[Rocket],Table23[Payload-dry mass])</f>
        <v>0.29577464788732394</v>
      </c>
      <c r="K24">
        <f>_xlfn.XLOOKUP(Table29[[#This Row],[Column1]],Table23[Rocket],Table23[Payload (kg)])</f>
        <v>10500</v>
      </c>
      <c r="L24">
        <f>_xlfn.XLOOKUP(Table29[[#This Row],[Column1]],Table23[Rocket],Table23[Dry mass (kg)])</f>
        <v>25000</v>
      </c>
      <c r="M24">
        <f>_xlfn.XLOOKUP(Table29[[#This Row],[Column1]],Table23[Rocket],Table23[Fuel (kg)])</f>
        <v>390000</v>
      </c>
      <c r="N24" t="str" cm="1">
        <f t="array" ref="N24">INDEX(Tbl_P3F[Rocket name],Table29[[#This Row],[Row]])</f>
        <v>Falcon 9</v>
      </c>
      <c r="U24" t="s">
        <v>569</v>
      </c>
      <c r="V24">
        <v>2001</v>
      </c>
      <c r="W24">
        <v>123</v>
      </c>
      <c r="X24">
        <v>10000</v>
      </c>
      <c r="Y24">
        <v>37000</v>
      </c>
      <c r="Z24">
        <v>285000</v>
      </c>
      <c r="AA24">
        <f>1000000*Table236[[#This Row],[Launch Cost]]/Table236[[#This Row],[Payload]]</f>
        <v>12300</v>
      </c>
      <c r="AB24">
        <f>Table236[[#This Row],[Payload]]/SUM(Table236[[#This Row],[Payload]:[Dry mass]])</f>
        <v>0.21276595744680851</v>
      </c>
      <c r="AC24">
        <f>Table236[[#This Row],[Payload]]</f>
        <v>10000</v>
      </c>
      <c r="AD24" cm="1">
        <f t="array" ref="AD24">_xlfn.SWITCH($T$7,1,Table236[[#This Row],[Dry mass]],2,Table236[[#This Row],[Dry mass]],3,NA(),4,Table236[[#This Row],[Dry mass]])</f>
        <v>37000</v>
      </c>
      <c r="AE24" cm="1">
        <f t="array" ref="AE24">_xlfn.SWITCH($T$7,1,Table236[[#This Row],[Propellant]],2,Table236[[#This Row],[Propellant]],3,Table236[[#This Row],[Propellant]],4,NA())</f>
        <v>285000</v>
      </c>
    </row>
    <row r="25" spans="2:32">
      <c r="B25" cm="1">
        <f t="array" ref="B25">ROW()-ROW(Table29[#Headers])</f>
        <v>5</v>
      </c>
      <c r="C25" t="str">
        <f>Table29[[#This Row],[Column1]]&amp;"
"&amp;Table29[[#This Row],[Year]]</f>
        <v>Falcon 9 FT
2018</v>
      </c>
      <c r="D25">
        <f>_xlfn.XLOOKUP(Table29[[#This Row],[Column1]],Table23[Rocket],Table23[Year])</f>
        <v>2018</v>
      </c>
      <c r="E25">
        <f>_xlfn.XLOOKUP(Table29[[#This Row],[Column1]],Table23[Rocket],Table23[Launch Cost])</f>
        <v>65</v>
      </c>
      <c r="F25">
        <f>_xlfn.XLOOKUP(Table29[[#This Row],[Column1]],Table23[Rocket],Table23[Payload])</f>
        <v>15600</v>
      </c>
      <c r="G25">
        <f>_xlfn.XLOOKUP(Table29[[#This Row],[Column1]],Table23[Rocket],Table23[Dry mass])</f>
        <v>30650</v>
      </c>
      <c r="H25">
        <f>_xlfn.XLOOKUP(Table29[[#This Row],[Column1]],Table23[Rocket],Table23[Propellant])</f>
        <v>518400</v>
      </c>
      <c r="I25">
        <f>_xlfn.XLOOKUP(Table29[[#This Row],[Column1]],Table23[Rocket],Table23[$/kg])</f>
        <v>4166.666666666667</v>
      </c>
      <c r="J25">
        <f>_xlfn.XLOOKUP(Table29[[#This Row],[Column1]],Table23[Rocket],Table23[Payload-dry mass])</f>
        <v>0.33729729729729729</v>
      </c>
      <c r="K25">
        <f>_xlfn.XLOOKUP(Table29[[#This Row],[Column1]],Table23[Rocket],Table23[Payload (kg)])</f>
        <v>15600</v>
      </c>
      <c r="L25">
        <f>_xlfn.XLOOKUP(Table29[[#This Row],[Column1]],Table23[Rocket],Table23[Dry mass (kg)])</f>
        <v>30650</v>
      </c>
      <c r="M25">
        <f>_xlfn.XLOOKUP(Table29[[#This Row],[Column1]],Table23[Rocket],Table23[Fuel (kg)])</f>
        <v>518400</v>
      </c>
      <c r="N25" t="str" cm="1">
        <f t="array" ref="N25">INDEX(Tbl_P3F[Rocket name],Table29[[#This Row],[Row]])</f>
        <v>Falcon 9 FT</v>
      </c>
      <c r="U25" t="s">
        <v>223</v>
      </c>
      <c r="V25">
        <v>1999</v>
      </c>
      <c r="W25">
        <v>82</v>
      </c>
      <c r="X25">
        <v>8600</v>
      </c>
      <c r="Y25">
        <v>40000</v>
      </c>
      <c r="Z25">
        <v>424000</v>
      </c>
      <c r="AA25">
        <f>1000000*Table236[[#This Row],[Launch Cost]]/Table236[[#This Row],[Payload]]</f>
        <v>9534.8837209302328</v>
      </c>
      <c r="AB25">
        <f>Table236[[#This Row],[Payload]]/SUM(Table236[[#This Row],[Payload]:[Dry mass]])</f>
        <v>0.17695473251028807</v>
      </c>
      <c r="AC25">
        <f>Table236[[#This Row],[Payload]]</f>
        <v>8600</v>
      </c>
      <c r="AD25" cm="1">
        <f t="array" ref="AD25">_xlfn.SWITCH($T$7,1,Table236[[#This Row],[Dry mass]],2,Table236[[#This Row],[Dry mass]],3,NA(),4,Table236[[#This Row],[Dry mass]])</f>
        <v>40000</v>
      </c>
      <c r="AE25" cm="1">
        <f t="array" ref="AE25">_xlfn.SWITCH($T$7,1,Table236[[#This Row],[Propellant]],2,Table236[[#This Row],[Propellant]],3,Table236[[#This Row],[Propellant]],4,NA())</f>
        <v>424000</v>
      </c>
    </row>
    <row r="26" spans="2:32">
      <c r="B26" cm="1">
        <f t="array" ref="B26">ROW()-ROW(Table29[#Headers])</f>
        <v>6</v>
      </c>
      <c r="C26" t="str">
        <f>Table29[[#This Row],[Column1]]&amp;"
"&amp;Table29[[#This Row],[Year]]</f>
        <v>H-IIA
2001</v>
      </c>
      <c r="D26">
        <f>_xlfn.XLOOKUP(Table29[[#This Row],[Column1]],Table23[Rocket],Table23[Year])</f>
        <v>2001</v>
      </c>
      <c r="E26">
        <f>_xlfn.XLOOKUP(Table29[[#This Row],[Column1]],Table23[Rocket],Table23[Launch Cost])</f>
        <v>123</v>
      </c>
      <c r="F26">
        <f>_xlfn.XLOOKUP(Table29[[#This Row],[Column1]],Table23[Rocket],Table23[Payload])</f>
        <v>10000</v>
      </c>
      <c r="G26">
        <f>_xlfn.XLOOKUP(Table29[[#This Row],[Column1]],Table23[Rocket],Table23[Dry mass])</f>
        <v>37000</v>
      </c>
      <c r="H26">
        <f>_xlfn.XLOOKUP(Table29[[#This Row],[Column1]],Table23[Rocket],Table23[Propellant])</f>
        <v>285000</v>
      </c>
      <c r="I26">
        <f>_xlfn.XLOOKUP(Table29[[#This Row],[Column1]],Table23[Rocket],Table23[$/kg])</f>
        <v>12300</v>
      </c>
      <c r="J26">
        <f>_xlfn.XLOOKUP(Table29[[#This Row],[Column1]],Table23[Rocket],Table23[Payload-dry mass])</f>
        <v>0.21276595744680851</v>
      </c>
      <c r="K26">
        <f>_xlfn.XLOOKUP(Table29[[#This Row],[Column1]],Table23[Rocket],Table23[Payload (kg)])</f>
        <v>10000</v>
      </c>
      <c r="L26">
        <f>_xlfn.XLOOKUP(Table29[[#This Row],[Column1]],Table23[Rocket],Table23[Dry mass (kg)])</f>
        <v>37000</v>
      </c>
      <c r="M26">
        <f>_xlfn.XLOOKUP(Table29[[#This Row],[Column1]],Table23[Rocket],Table23[Fuel (kg)])</f>
        <v>285000</v>
      </c>
      <c r="N26" t="str" cm="1">
        <f t="array" ref="N26">INDEX(Tbl_P3F[Rocket name],Table29[[#This Row],[Row]])</f>
        <v>H-IIA</v>
      </c>
      <c r="U26" t="s">
        <v>940</v>
      </c>
      <c r="V26">
        <v>2021</v>
      </c>
      <c r="W26">
        <v>170</v>
      </c>
      <c r="X26">
        <v>45000</v>
      </c>
      <c r="Y26">
        <v>122000</v>
      </c>
      <c r="Z26">
        <v>1108000</v>
      </c>
      <c r="AA26">
        <f>1000000*Table236[[#This Row],[Launch Cost]]/Table236[[#This Row],[Payload]]</f>
        <v>3777.7777777777778</v>
      </c>
      <c r="AB26">
        <f>Table236[[#This Row],[Payload]]/SUM(Table236[[#This Row],[Payload]:[Dry mass]])</f>
        <v>0.26946107784431139</v>
      </c>
      <c r="AC26">
        <f>Table236[[#This Row],[Payload]]</f>
        <v>45000</v>
      </c>
      <c r="AD26" cm="1">
        <f t="array" ref="AD26">_xlfn.SWITCH($T$7,1,Table236[[#This Row],[Dry mass]],2,Table236[[#This Row],[Dry mass]],3,NA(),4,Table236[[#This Row],[Dry mass]])</f>
        <v>122000</v>
      </c>
      <c r="AE26" cm="1">
        <f t="array" ref="AE26">_xlfn.SWITCH($T$7,1,Table236[[#This Row],[Propellant]],2,Table236[[#This Row],[Propellant]],3,Table236[[#This Row],[Propellant]],4,NA())</f>
        <v>1108000</v>
      </c>
    </row>
    <row r="27" spans="2:32">
      <c r="B27" cm="1">
        <f t="array" ref="B27">ROW()-ROW(Table29[#Headers])</f>
        <v>7</v>
      </c>
      <c r="C27" t="str">
        <f>Table29[[#This Row],[Column1]]&amp;"
"&amp;Table29[[#This Row],[Year]]</f>
        <v>Long March 2F
1999</v>
      </c>
      <c r="D27">
        <f>_xlfn.XLOOKUP(Table29[[#This Row],[Column1]],Table23[Rocket],Table23[Year])</f>
        <v>1999</v>
      </c>
      <c r="E27">
        <f>_xlfn.XLOOKUP(Table29[[#This Row],[Column1]],Table23[Rocket],Table23[Launch Cost])</f>
        <v>82</v>
      </c>
      <c r="F27">
        <f>_xlfn.XLOOKUP(Table29[[#This Row],[Column1]],Table23[Rocket],Table23[Payload])</f>
        <v>8600</v>
      </c>
      <c r="G27">
        <f>_xlfn.XLOOKUP(Table29[[#This Row],[Column1]],Table23[Rocket],Table23[Dry mass])</f>
        <v>40000</v>
      </c>
      <c r="H27">
        <f>_xlfn.XLOOKUP(Table29[[#This Row],[Column1]],Table23[Rocket],Table23[Propellant])</f>
        <v>424000</v>
      </c>
      <c r="I27">
        <f>_xlfn.XLOOKUP(Table29[[#This Row],[Column1]],Table23[Rocket],Table23[$/kg])</f>
        <v>9534.8837209302328</v>
      </c>
      <c r="J27">
        <f>_xlfn.XLOOKUP(Table29[[#This Row],[Column1]],Table23[Rocket],Table23[Payload-dry mass])</f>
        <v>0.17695473251028807</v>
      </c>
      <c r="K27">
        <f>_xlfn.XLOOKUP(Table29[[#This Row],[Column1]],Table23[Rocket],Table23[Payload (kg)])</f>
        <v>8600</v>
      </c>
      <c r="L27">
        <f>_xlfn.XLOOKUP(Table29[[#This Row],[Column1]],Table23[Rocket],Table23[Dry mass (kg)])</f>
        <v>40000</v>
      </c>
      <c r="M27">
        <f>_xlfn.XLOOKUP(Table29[[#This Row],[Column1]],Table23[Rocket],Table23[Fuel (kg)])</f>
        <v>424000</v>
      </c>
      <c r="N27" t="str" cm="1">
        <f t="array" ref="N27">INDEX(Tbl_P3F[Rocket name],Table29[[#This Row],[Row]])</f>
        <v>Long March 2F</v>
      </c>
      <c r="U27" t="s">
        <v>570</v>
      </c>
      <c r="V27">
        <v>2021</v>
      </c>
      <c r="W27">
        <v>500</v>
      </c>
      <c r="X27">
        <v>95000</v>
      </c>
      <c r="Y27">
        <v>169000</v>
      </c>
      <c r="Z27">
        <v>2293000</v>
      </c>
      <c r="AA27">
        <f>1000000*Table236[[#This Row],[Launch Cost]]/Table236[[#This Row],[Payload]]</f>
        <v>5263.1578947368425</v>
      </c>
      <c r="AB27">
        <f>Table236[[#This Row],[Payload]]/SUM(Table236[[#This Row],[Payload]:[Dry mass]])</f>
        <v>0.35984848484848486</v>
      </c>
      <c r="AC27">
        <f>Table236[[#This Row],[Payload]]</f>
        <v>95000</v>
      </c>
      <c r="AD27" cm="1">
        <f t="array" ref="AD27">_xlfn.SWITCH($T$7,1,Table236[[#This Row],[Dry mass]],2,Table236[[#This Row],[Dry mass]],3,NA(),4,Table236[[#This Row],[Dry mass]])</f>
        <v>169000</v>
      </c>
      <c r="AE27" cm="1">
        <f t="array" ref="AE27">_xlfn.SWITCH($T$7,1,Table236[[#This Row],[Propellant]],2,Table236[[#This Row],[Propellant]],3,Table236[[#This Row],[Propellant]],4,NA())</f>
        <v>2293000</v>
      </c>
    </row>
    <row r="28" spans="2:32">
      <c r="B28" cm="1">
        <f t="array" ref="B28">ROW()-ROW(Table29[#Headers])</f>
        <v>8</v>
      </c>
      <c r="C28" t="str">
        <f>Table29[[#This Row],[Column1]]&amp;"
"&amp;Table29[[#This Row],[Year]]</f>
        <v>SLS
2021</v>
      </c>
      <c r="D28">
        <f>_xlfn.XLOOKUP(Table29[[#This Row],[Column1]],Table23[Rocket],Table23[Year])</f>
        <v>2021</v>
      </c>
      <c r="E28">
        <f>_xlfn.XLOOKUP(Table29[[#This Row],[Column1]],Table23[Rocket],Table23[Launch Cost])</f>
        <v>500</v>
      </c>
      <c r="F28">
        <f>_xlfn.XLOOKUP(Table29[[#This Row],[Column1]],Table23[Rocket],Table23[Payload])</f>
        <v>95000</v>
      </c>
      <c r="G28">
        <f>_xlfn.XLOOKUP(Table29[[#This Row],[Column1]],Table23[Rocket],Table23[Dry mass])</f>
        <v>169000</v>
      </c>
      <c r="H28">
        <f>_xlfn.XLOOKUP(Table29[[#This Row],[Column1]],Table23[Rocket],Table23[Propellant])</f>
        <v>2293000</v>
      </c>
      <c r="I28">
        <f>_xlfn.XLOOKUP(Table29[[#This Row],[Column1]],Table23[Rocket],Table23[$/kg])</f>
        <v>5263.1578947368425</v>
      </c>
      <c r="J28">
        <f>_xlfn.XLOOKUP(Table29[[#This Row],[Column1]],Table23[Rocket],Table23[Payload-dry mass])</f>
        <v>0.35984848484848486</v>
      </c>
      <c r="K28">
        <f>_xlfn.XLOOKUP(Table29[[#This Row],[Column1]],Table23[Rocket],Table23[Payload (kg)])</f>
        <v>95000</v>
      </c>
      <c r="L28">
        <f>_xlfn.XLOOKUP(Table29[[#This Row],[Column1]],Table23[Rocket],Table23[Dry mass (kg)])</f>
        <v>169000</v>
      </c>
      <c r="M28">
        <f>_xlfn.XLOOKUP(Table29[[#This Row],[Column1]],Table23[Rocket],Table23[Fuel (kg)])</f>
        <v>2293000</v>
      </c>
      <c r="N28" t="str" cm="1">
        <f t="array" ref="N28">INDEX(Tbl_P3F[Rocket name],Table29[[#This Row],[Row]])</f>
        <v>SLS</v>
      </c>
      <c r="U28" t="s">
        <v>571</v>
      </c>
      <c r="V28">
        <v>2004</v>
      </c>
      <c r="W28">
        <v>80</v>
      </c>
      <c r="X28">
        <v>7020</v>
      </c>
      <c r="Y28">
        <v>25000</v>
      </c>
      <c r="Z28">
        <v>277000</v>
      </c>
      <c r="AA28">
        <f>1000000*Table236[[#This Row],[Launch Cost]]/Table236[[#This Row],[Payload]]</f>
        <v>11396.011396011396</v>
      </c>
      <c r="AB28">
        <f>Table236[[#This Row],[Payload]]/SUM(Table236[[#This Row],[Payload]:[Dry mass]])</f>
        <v>0.21923797626483449</v>
      </c>
      <c r="AC28">
        <f>Table236[[#This Row],[Payload]]</f>
        <v>7020</v>
      </c>
      <c r="AD28" cm="1">
        <f t="array" ref="AD28">_xlfn.SWITCH($T$7,1,Table236[[#This Row],[Dry mass]],2,Table236[[#This Row],[Dry mass]],3,NA(),4,Table236[[#This Row],[Dry mass]])</f>
        <v>25000</v>
      </c>
      <c r="AE28" cm="1">
        <f t="array" ref="AE28">_xlfn.SWITCH($T$7,1,Table236[[#This Row],[Propellant]],2,Table236[[#This Row],[Propellant]],3,Table236[[#This Row],[Propellant]],4,NA())</f>
        <v>277000</v>
      </c>
    </row>
    <row r="29" spans="2:32">
      <c r="B29" cm="1">
        <f t="array" ref="B29">ROW()-ROW(Table29[#Headers])</f>
        <v>9</v>
      </c>
      <c r="C29" t="str">
        <f>Table29[[#This Row],[Column1]]&amp;"
"&amp;Table29[[#This Row],[Year]]</f>
        <v>Soyuz-2
2004</v>
      </c>
      <c r="D29">
        <f>_xlfn.XLOOKUP(Table29[[#This Row],[Column1]],Table23[Rocket],Table23[Year])</f>
        <v>2004</v>
      </c>
      <c r="E29">
        <f>_xlfn.XLOOKUP(Table29[[#This Row],[Column1]],Table23[Rocket],Table23[Launch Cost])</f>
        <v>80</v>
      </c>
      <c r="F29">
        <f>_xlfn.XLOOKUP(Table29[[#This Row],[Column1]],Table23[Rocket],Table23[Payload])</f>
        <v>7020</v>
      </c>
      <c r="G29">
        <f>_xlfn.XLOOKUP(Table29[[#This Row],[Column1]],Table23[Rocket],Table23[Dry mass])</f>
        <v>25000</v>
      </c>
      <c r="H29">
        <f>_xlfn.XLOOKUP(Table29[[#This Row],[Column1]],Table23[Rocket],Table23[Propellant])</f>
        <v>277000</v>
      </c>
      <c r="I29">
        <f>_xlfn.XLOOKUP(Table29[[#This Row],[Column1]],Table23[Rocket],Table23[$/kg])</f>
        <v>11396.011396011396</v>
      </c>
      <c r="J29">
        <f>_xlfn.XLOOKUP(Table29[[#This Row],[Column1]],Table23[Rocket],Table23[Payload-dry mass])</f>
        <v>0.21923797626483449</v>
      </c>
      <c r="K29">
        <f>_xlfn.XLOOKUP(Table29[[#This Row],[Column1]],Table23[Rocket],Table23[Payload (kg)])</f>
        <v>7020</v>
      </c>
      <c r="L29">
        <f>_xlfn.XLOOKUP(Table29[[#This Row],[Column1]],Table23[Rocket],Table23[Dry mass (kg)])</f>
        <v>25000</v>
      </c>
      <c r="M29">
        <f>_xlfn.XLOOKUP(Table29[[#This Row],[Column1]],Table23[Rocket],Table23[Fuel (kg)])</f>
        <v>277000</v>
      </c>
      <c r="N29" t="str" cm="1">
        <f t="array" ref="N29">INDEX(Tbl_P3F[Rocket name],Table29[[#This Row],[Row]])</f>
        <v>Soyuz-2</v>
      </c>
    </row>
    <row r="31" spans="2:32">
      <c r="X31">
        <f t="shared" ref="X31:X40" si="0">X19/SUM(X19,Z19)</f>
        <v>3.0478955007256895E-2</v>
      </c>
      <c r="Y31">
        <f t="shared" ref="Y31:Y40" si="1">1/X31</f>
        <v>32.80952380952381</v>
      </c>
    </row>
    <row r="32" spans="2:32">
      <c r="X32">
        <f t="shared" si="0"/>
        <v>2.4390243902439025E-2</v>
      </c>
      <c r="Y32">
        <f t="shared" si="1"/>
        <v>41</v>
      </c>
      <c r="AD32" t="s">
        <v>941</v>
      </c>
      <c r="AE32" t="s">
        <v>924</v>
      </c>
    </row>
    <row r="33" spans="24:31">
      <c r="X33">
        <f t="shared" si="0"/>
        <v>3.525046382189239E-2</v>
      </c>
      <c r="Y33">
        <f t="shared" si="1"/>
        <v>28.368421052631582</v>
      </c>
      <c r="AD33">
        <v>3784</v>
      </c>
      <c r="AE33">
        <v>39160</v>
      </c>
    </row>
    <row r="34" spans="24:31">
      <c r="X34">
        <f t="shared" si="0"/>
        <v>2.6217228464419477E-2</v>
      </c>
      <c r="Y34">
        <f t="shared" si="1"/>
        <v>38.142857142857139</v>
      </c>
      <c r="AD34">
        <v>3784</v>
      </c>
      <c r="AE34">
        <v>39160</v>
      </c>
    </row>
    <row r="35" spans="24:31">
      <c r="X35">
        <f t="shared" si="0"/>
        <v>2.9213483146067417E-2</v>
      </c>
      <c r="Y35">
        <f t="shared" si="1"/>
        <v>34.230769230769226</v>
      </c>
      <c r="AD35">
        <v>3784</v>
      </c>
      <c r="AE35">
        <v>39160</v>
      </c>
    </row>
    <row r="36" spans="24:31">
      <c r="X36">
        <f t="shared" si="0"/>
        <v>3.3898305084745763E-2</v>
      </c>
      <c r="Y36">
        <f t="shared" si="1"/>
        <v>29.5</v>
      </c>
      <c r="AD36">
        <v>3784</v>
      </c>
      <c r="AE36">
        <v>39160</v>
      </c>
    </row>
    <row r="37" spans="24:31">
      <c r="X37">
        <f t="shared" si="0"/>
        <v>1.9879796578825704E-2</v>
      </c>
      <c r="Y37">
        <f t="shared" si="1"/>
        <v>50.302325581395351</v>
      </c>
      <c r="AD37">
        <v>6545</v>
      </c>
      <c r="AE37">
        <v>90100</v>
      </c>
    </row>
    <row r="38" spans="24:31">
      <c r="X38">
        <f t="shared" si="0"/>
        <v>3.9028620988725067E-2</v>
      </c>
      <c r="Y38">
        <f t="shared" si="1"/>
        <v>25.62222222222222</v>
      </c>
      <c r="AD38">
        <v>2355</v>
      </c>
      <c r="AE38">
        <v>25400</v>
      </c>
    </row>
    <row r="39" spans="24:31">
      <c r="X39">
        <f t="shared" si="0"/>
        <v>3.9782244556113906E-2</v>
      </c>
      <c r="Y39">
        <f t="shared" si="1"/>
        <v>25.136842105263156</v>
      </c>
      <c r="AD39">
        <v>930</v>
      </c>
      <c r="AE39">
        <v>5250</v>
      </c>
    </row>
    <row r="40" spans="24:31">
      <c r="X40">
        <f t="shared" si="0"/>
        <v>2.4716569255686219E-2</v>
      </c>
      <c r="Y40">
        <f t="shared" si="1"/>
        <v>40.458689458689456</v>
      </c>
    </row>
    <row r="51" spans="13:25">
      <c r="M51" t="s">
        <v>233</v>
      </c>
      <c r="N51" t="s">
        <v>183</v>
      </c>
      <c r="O51" t="s">
        <v>942</v>
      </c>
      <c r="P51" t="s">
        <v>943</v>
      </c>
      <c r="Q51" t="s">
        <v>944</v>
      </c>
      <c r="R51" t="s">
        <v>945</v>
      </c>
      <c r="T51" t="s">
        <v>734</v>
      </c>
      <c r="U51" t="s">
        <v>946</v>
      </c>
      <c r="V51" t="s">
        <v>947</v>
      </c>
      <c r="W51" t="s">
        <v>948</v>
      </c>
      <c r="X51" t="s">
        <v>941</v>
      </c>
      <c r="Y51" t="s">
        <v>949</v>
      </c>
    </row>
    <row r="52" spans="13:25">
      <c r="M52" t="s">
        <v>950</v>
      </c>
      <c r="N52">
        <v>95000</v>
      </c>
      <c r="O52">
        <v>169000</v>
      </c>
      <c r="P52">
        <v>2293000</v>
      </c>
      <c r="Q52">
        <v>2021</v>
      </c>
      <c r="R52">
        <v>5263.1578947368425</v>
      </c>
      <c r="T52" t="s">
        <v>951</v>
      </c>
      <c r="U52">
        <v>60</v>
      </c>
      <c r="V52">
        <v>6</v>
      </c>
      <c r="W52">
        <v>0</v>
      </c>
      <c r="X52">
        <v>0</v>
      </c>
      <c r="Y52">
        <v>0</v>
      </c>
    </row>
    <row r="53" spans="13:25">
      <c r="M53" t="s">
        <v>952</v>
      </c>
      <c r="N53">
        <v>45000</v>
      </c>
      <c r="O53">
        <v>122000</v>
      </c>
      <c r="P53">
        <v>1108000</v>
      </c>
      <c r="Q53">
        <v>2021</v>
      </c>
      <c r="R53">
        <v>3777.7777777777778</v>
      </c>
      <c r="T53" t="s">
        <v>953</v>
      </c>
      <c r="U53">
        <v>26</v>
      </c>
      <c r="V53">
        <v>12</v>
      </c>
      <c r="W53">
        <v>39</v>
      </c>
      <c r="X53">
        <v>0</v>
      </c>
      <c r="Y53">
        <v>0</v>
      </c>
    </row>
    <row r="54" spans="13:25">
      <c r="M54" t="s">
        <v>954</v>
      </c>
      <c r="N54">
        <v>21000</v>
      </c>
      <c r="O54">
        <v>91200</v>
      </c>
      <c r="P54">
        <v>668000</v>
      </c>
      <c r="Q54">
        <v>2002</v>
      </c>
      <c r="R54">
        <v>10476.190476190477</v>
      </c>
      <c r="T54" t="s">
        <v>955</v>
      </c>
      <c r="U54">
        <v>163</v>
      </c>
      <c r="V54">
        <v>0</v>
      </c>
      <c r="W54">
        <v>43</v>
      </c>
      <c r="X54">
        <v>21</v>
      </c>
      <c r="Y54">
        <v>0</v>
      </c>
    </row>
    <row r="55" spans="13:25">
      <c r="M55" t="s">
        <v>956</v>
      </c>
      <c r="N55">
        <v>19000</v>
      </c>
      <c r="O55">
        <v>44000</v>
      </c>
      <c r="P55">
        <v>520000</v>
      </c>
      <c r="Q55">
        <v>2006</v>
      </c>
      <c r="R55">
        <v>5789.4736842105267</v>
      </c>
      <c r="T55" t="s">
        <v>957</v>
      </c>
      <c r="U55">
        <v>324</v>
      </c>
      <c r="V55">
        <v>0</v>
      </c>
      <c r="W55">
        <v>0</v>
      </c>
      <c r="X55">
        <v>114</v>
      </c>
      <c r="Y55">
        <v>13</v>
      </c>
    </row>
    <row r="56" spans="13:25">
      <c r="M56" t="s">
        <v>958</v>
      </c>
      <c r="N56">
        <v>16000</v>
      </c>
      <c r="O56">
        <v>95000</v>
      </c>
      <c r="P56">
        <v>640000</v>
      </c>
      <c r="Q56">
        <v>1996</v>
      </c>
      <c r="R56">
        <v>11250</v>
      </c>
      <c r="T56" t="s">
        <v>959</v>
      </c>
      <c r="U56">
        <v>33</v>
      </c>
      <c r="V56">
        <v>0</v>
      </c>
      <c r="W56">
        <v>0</v>
      </c>
      <c r="X56">
        <v>2</v>
      </c>
      <c r="Y56">
        <v>256</v>
      </c>
    </row>
    <row r="57" spans="13:25">
      <c r="M57" t="s">
        <v>960</v>
      </c>
      <c r="N57">
        <v>15600</v>
      </c>
      <c r="O57">
        <v>30650</v>
      </c>
      <c r="P57">
        <v>518400</v>
      </c>
      <c r="Q57">
        <v>2018</v>
      </c>
      <c r="R57">
        <v>4166.666666666667</v>
      </c>
      <c r="T57" t="s">
        <v>961</v>
      </c>
      <c r="U57">
        <v>0</v>
      </c>
      <c r="V57">
        <v>0</v>
      </c>
      <c r="W57">
        <v>8</v>
      </c>
      <c r="X57">
        <v>0</v>
      </c>
      <c r="Y57">
        <v>148</v>
      </c>
    </row>
    <row r="58" spans="13:25">
      <c r="M58" t="s">
        <v>962</v>
      </c>
      <c r="N58">
        <v>10500</v>
      </c>
      <c r="O58">
        <v>25000</v>
      </c>
      <c r="P58">
        <v>390000</v>
      </c>
      <c r="Q58">
        <v>2010</v>
      </c>
      <c r="R58">
        <v>5904.7619047619046</v>
      </c>
    </row>
    <row r="59" spans="13:25">
      <c r="M59" t="s">
        <v>963</v>
      </c>
      <c r="N59">
        <v>10000</v>
      </c>
      <c r="O59">
        <v>37000</v>
      </c>
      <c r="P59">
        <v>285000</v>
      </c>
      <c r="Q59">
        <v>2001</v>
      </c>
      <c r="R59">
        <v>12300</v>
      </c>
    </row>
    <row r="60" spans="13:25">
      <c r="M60" t="s">
        <v>964</v>
      </c>
      <c r="N60">
        <v>8600</v>
      </c>
      <c r="O60">
        <v>40000</v>
      </c>
      <c r="P60">
        <v>424000</v>
      </c>
      <c r="Q60">
        <v>1999</v>
      </c>
      <c r="R60">
        <v>9534.8837209302328</v>
      </c>
    </row>
    <row r="61" spans="13:25">
      <c r="M61" t="s">
        <v>965</v>
      </c>
      <c r="N61">
        <v>7020</v>
      </c>
      <c r="O61">
        <v>25000</v>
      </c>
      <c r="P61">
        <v>277000</v>
      </c>
      <c r="Q61">
        <v>2004</v>
      </c>
      <c r="R61">
        <v>11396.011396011396</v>
      </c>
    </row>
  </sheetData>
  <phoneticPr fontId="10" type="noConversion"/>
  <pageMargins left="0.7" right="0.7" top="0.75" bottom="0.75" header="0.3" footer="0.3"/>
  <drawing r:id="rId1"/>
  <tableParts count="9">
    <tablePart r:id="rId2"/>
    <tablePart r:id="rId3"/>
    <tablePart r:id="rId4"/>
    <tablePart r:id="rId5"/>
    <tablePart r:id="rId6"/>
    <tablePart r:id="rId7"/>
    <tablePart r:id="rId8"/>
    <tablePart r:id="rId9"/>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6CF5-BA55-42FA-8631-A0AA4FE5DA63}">
  <sheetPr codeName="Sheet7">
    <tabColor theme="7"/>
  </sheetPr>
  <dimension ref="A1:Y36"/>
  <sheetViews>
    <sheetView zoomScale="115" zoomScaleNormal="115" workbookViewId="0"/>
  </sheetViews>
  <sheetFormatPr defaultColWidth="0" defaultRowHeight="16.5" zeroHeight="1"/>
  <cols>
    <col min="1" max="1" width="0.125" style="24" customWidth="1"/>
    <col min="2" max="2" width="2.5" style="24" customWidth="1"/>
    <col min="3" max="3" width="2.5" style="2" customWidth="1"/>
    <col min="4" max="7" width="10" style="2" customWidth="1"/>
    <col min="8" max="8" width="15" style="2" customWidth="1"/>
    <col min="9" max="9" width="2.25" style="2" customWidth="1"/>
    <col min="10" max="10" width="15" style="2" customWidth="1"/>
    <col min="11" max="12" width="20" style="2" customWidth="1"/>
    <col min="13" max="13" width="2.5" style="2" customWidth="1"/>
    <col min="14" max="14" width="2.25" style="2" customWidth="1"/>
    <col min="15" max="15" width="2.5" style="2" customWidth="1"/>
    <col min="16" max="21" width="4.5" style="2" customWidth="1"/>
    <col min="22" max="22" width="10" style="2" customWidth="1"/>
    <col min="23" max="23" width="12.5" style="2" customWidth="1"/>
    <col min="24" max="25" width="2.5" style="2" customWidth="1"/>
    <col min="26" max="16384" width="9.375" style="2" hidden="1"/>
  </cols>
  <sheetData>
    <row r="1" spans="1:24" s="24" customFormat="1" ht="6" customHeight="1">
      <c r="A1" s="23" t="str">
        <f>C2</f>
        <v>Visualizing data through charts</v>
      </c>
      <c r="B1" s="23"/>
      <c r="C1" s="2"/>
      <c r="D1" s="26"/>
      <c r="E1" s="2"/>
      <c r="F1" s="25"/>
      <c r="G1" s="2"/>
      <c r="H1" s="2"/>
      <c r="I1" s="2"/>
      <c r="J1" s="2"/>
      <c r="K1" s="2"/>
      <c r="L1" s="2"/>
      <c r="M1" s="2"/>
      <c r="N1" s="2"/>
      <c r="O1" s="2"/>
      <c r="P1" s="2"/>
      <c r="Q1" s="2"/>
      <c r="R1" s="2"/>
      <c r="S1" s="2"/>
      <c r="T1" s="2"/>
      <c r="U1" s="2"/>
      <c r="V1" s="2"/>
      <c r="W1" s="2"/>
      <c r="X1" s="2"/>
    </row>
    <row r="2" spans="1:24" ht="13.5" customHeight="1" thickBot="1">
      <c r="A2" s="23" t="str">
        <f>C4</f>
        <v>From rockets to explorers, there is SO MUCH data around space! Learn about how different charts can help you gain insights into space travel!</v>
      </c>
      <c r="B2" s="2"/>
      <c r="C2" s="130" t="str">
        <f>Translations!K402</f>
        <v>Visualizing data through charts</v>
      </c>
      <c r="D2" s="130"/>
      <c r="E2" s="130"/>
      <c r="F2" s="130"/>
      <c r="G2" s="130"/>
      <c r="H2" s="130"/>
      <c r="I2" s="90"/>
    </row>
    <row r="3" spans="1:24" ht="13.5" customHeight="1" thickBot="1">
      <c r="A3" s="23" t="str">
        <f>Translations!K404</f>
        <v>What is a chart? A chart is a visual representation of data from a worksheet that can help you understand more about the data than just using the numbers. To find a chart in Excel, use the Ctrl key plus the F6 key (in Excel for the web) and the Ctrl key plus Alt key plus 5 (in Excel for Windows).</v>
      </c>
      <c r="B3" s="2"/>
      <c r="C3" s="130"/>
      <c r="D3" s="130"/>
      <c r="E3" s="130"/>
      <c r="F3" s="130"/>
      <c r="G3" s="130"/>
      <c r="H3" s="130"/>
      <c r="I3" s="90"/>
      <c r="K3" s="48"/>
      <c r="L3" s="47" t="str">
        <f>Translations!$K$155</f>
        <v>Choose ↓</v>
      </c>
      <c r="O3" s="3"/>
      <c r="P3" s="43"/>
      <c r="Q3" s="43"/>
      <c r="R3" s="43"/>
      <c r="S3" s="43"/>
      <c r="T3" s="43"/>
      <c r="U3" s="43"/>
      <c r="V3" s="43"/>
      <c r="W3" s="43"/>
      <c r="X3" s="3"/>
    </row>
    <row r="4" spans="1:24" ht="13.5" customHeight="1">
      <c r="A4" s="23" t="str">
        <f>Translations!K405</f>
        <v>Column charts: Data that is arranged in columns or rows on a worksheet can be organized in a column chart. These charts are helpful when comparing categories (typically text names) by their value. The vertical axis shows the value of the data through size. The horizontal axis separates the values by their category.</v>
      </c>
      <c r="B4" s="2"/>
      <c r="C4" s="131" t="str">
        <f>Translations!K410</f>
        <v>From rockets to explorers, there is SO MUCH data around space! Learn about how different charts can help you gain insights into space travel!</v>
      </c>
      <c r="D4" s="131"/>
      <c r="E4" s="131"/>
      <c r="F4" s="131"/>
      <c r="G4" s="131"/>
      <c r="H4" s="131"/>
      <c r="I4" s="131"/>
      <c r="J4" s="131"/>
      <c r="K4" s="137" t="s">
        <v>635</v>
      </c>
      <c r="L4" s="138"/>
      <c r="O4" s="3"/>
      <c r="P4" s="119" t="str">
        <f>DD_P1_Sel</f>
        <v>What is a chart?</v>
      </c>
      <c r="Q4" s="119"/>
      <c r="R4" s="119"/>
      <c r="S4" s="119"/>
      <c r="T4" s="119"/>
      <c r="U4" s="119"/>
      <c r="V4" s="119"/>
      <c r="W4" s="119"/>
      <c r="X4" s="3"/>
    </row>
    <row r="5" spans="1:24" ht="13.5" customHeight="1" thickBot="1">
      <c r="A5" s="23" t="str">
        <f>Translations!K406</f>
        <v>100% stacked column charts: A 100% stacked column chart shows values in columns that are stacked on top of each other to represent 100%. Use this chart when you want to compare the contributions to the whole, such as sections of a rocket! The vertical axis shows the proportion with different color segments. The horizontal axis separates the values by their category.</v>
      </c>
      <c r="B5" s="2"/>
      <c r="C5" s="131"/>
      <c r="D5" s="131"/>
      <c r="E5" s="131"/>
      <c r="F5" s="131"/>
      <c r="G5" s="131"/>
      <c r="H5" s="131"/>
      <c r="I5" s="131"/>
      <c r="J5" s="131"/>
      <c r="K5" s="139"/>
      <c r="L5" s="140"/>
      <c r="O5" s="3"/>
      <c r="P5" s="119"/>
      <c r="Q5" s="119"/>
      <c r="R5" s="119"/>
      <c r="S5" s="119"/>
      <c r="T5" s="119"/>
      <c r="U5" s="119"/>
      <c r="V5" s="119"/>
      <c r="W5" s="119"/>
      <c r="X5" s="3"/>
    </row>
    <row r="6" spans="1:24" ht="22.5" customHeight="1">
      <c r="A6" s="23" t="str">
        <f>Translations!K407</f>
        <v>Scatter charts: A scatter chart is handy when you have two sets of value data, and you are curious what trends there are between them. Those patterns help you predict where other data might land as well! The vertical axis shows the position of the values on the y axis. The horizontal axis shows the position of the values on the x axis.</v>
      </c>
      <c r="B6" s="2"/>
      <c r="C6" s="131"/>
      <c r="D6" s="131"/>
      <c r="E6" s="131"/>
      <c r="F6" s="131"/>
      <c r="G6" s="131"/>
      <c r="H6" s="131"/>
      <c r="I6" s="131"/>
      <c r="J6" s="131"/>
      <c r="O6" s="3"/>
      <c r="P6" s="42"/>
      <c r="Q6" s="42"/>
      <c r="R6" s="42"/>
      <c r="S6" s="42"/>
      <c r="T6" s="42"/>
      <c r="U6" s="42"/>
      <c r="V6" s="42"/>
      <c r="W6" s="42"/>
      <c r="X6" s="3"/>
    </row>
    <row r="7" spans="1:24" ht="18" customHeight="1">
      <c r="A7" s="23" t="str">
        <f>Translations!K408</f>
        <v>Area charts: Stacked area charts show the trend of the contribution of each value over time (or other category), which helps you tell how the different categories change! The vertical axis shows the size of the values, with the categories separated by color. The horizontal axis shows the categories or the position of the time values.</v>
      </c>
      <c r="B7" s="23"/>
      <c r="C7" s="3"/>
      <c r="D7" s="132" t="str" cm="1">
        <f t="array" ref="D7">INDEX(TblB_P1_Steps[Green],DD_P1_SelNum)</f>
        <v xml:space="preserve"> </v>
      </c>
      <c r="E7" s="132"/>
      <c r="F7" s="132"/>
      <c r="G7" s="132"/>
      <c r="H7" s="132"/>
      <c r="I7" s="3"/>
      <c r="J7" s="133" t="str" cm="1">
        <f t="array" ref="J7">INDEX(TblB_P1_Steps[Red],DD_P1_SelNum)</f>
        <v xml:space="preserve"> </v>
      </c>
      <c r="K7" s="133"/>
      <c r="L7" s="133"/>
      <c r="M7" s="3"/>
      <c r="O7" s="3"/>
      <c r="P7" s="135" t="str" cm="1">
        <f t="array" ref="P7">INDEX(TblB_P1_Steps[Text1],DD_P1_SelNum)</f>
        <v>A chart is a visual representation of data from a worksheet that can help you understand more from the data than just using numbers.</v>
      </c>
      <c r="Q7" s="135"/>
      <c r="R7" s="135"/>
      <c r="S7" s="135"/>
      <c r="T7" s="135"/>
      <c r="U7" s="135"/>
      <c r="V7" s="135"/>
      <c r="W7" s="135"/>
      <c r="X7" s="3"/>
    </row>
    <row r="8" spans="1:24" ht="13.5" customHeight="1">
      <c r="A8" s="45" t="str">
        <f>Translations!K409</f>
        <v>Discussion: Have you used charts before? What kinds of charts have you come across? Check your understanding: Answer the question in cell P21.</v>
      </c>
      <c r="B8" s="23"/>
      <c r="C8" s="3"/>
      <c r="D8" s="132"/>
      <c r="E8" s="132"/>
      <c r="F8" s="132"/>
      <c r="G8" s="132"/>
      <c r="H8" s="132"/>
      <c r="I8" s="3"/>
      <c r="J8" s="133"/>
      <c r="K8" s="133"/>
      <c r="L8" s="133"/>
      <c r="M8" s="3"/>
      <c r="O8" s="3"/>
      <c r="P8" s="135"/>
      <c r="Q8" s="135"/>
      <c r="R8" s="135"/>
      <c r="S8" s="135"/>
      <c r="T8" s="135"/>
      <c r="U8" s="135"/>
      <c r="V8" s="135"/>
      <c r="W8" s="135"/>
      <c r="X8" s="3"/>
    </row>
    <row r="9" spans="1:24" ht="13.5" customHeight="1">
      <c r="A9" s="23" t="str">
        <f>Translations!K10</f>
        <v>Press Ctrl key plus page down key to go to the next page.</v>
      </c>
      <c r="B9" s="23"/>
      <c r="C9" s="3"/>
      <c r="D9" s="132"/>
      <c r="E9" s="132"/>
      <c r="F9" s="132"/>
      <c r="G9" s="132"/>
      <c r="H9" s="132"/>
      <c r="I9" s="3"/>
      <c r="J9" s="133"/>
      <c r="K9" s="133"/>
      <c r="L9" s="133"/>
      <c r="M9" s="3"/>
      <c r="O9" s="3"/>
      <c r="P9" s="135"/>
      <c r="Q9" s="135"/>
      <c r="R9" s="135"/>
      <c r="S9" s="135"/>
      <c r="T9" s="135"/>
      <c r="U9" s="135"/>
      <c r="V9" s="135"/>
      <c r="W9" s="135"/>
      <c r="X9" s="3"/>
    </row>
    <row r="10" spans="1:24" ht="2.25" customHeight="1">
      <c r="A10" s="23"/>
      <c r="B10" s="23"/>
      <c r="C10" s="3"/>
      <c r="D10" s="3"/>
      <c r="E10" s="3"/>
      <c r="F10" s="3"/>
      <c r="G10" s="3"/>
      <c r="H10" s="3"/>
      <c r="I10" s="3"/>
      <c r="J10" s="3"/>
      <c r="K10" s="3"/>
      <c r="L10" s="3"/>
      <c r="M10" s="3"/>
      <c r="O10" s="3"/>
      <c r="P10" s="135"/>
      <c r="Q10" s="135"/>
      <c r="R10" s="135"/>
      <c r="S10" s="135"/>
      <c r="T10" s="135"/>
      <c r="U10" s="135"/>
      <c r="V10" s="135"/>
      <c r="W10" s="135"/>
      <c r="X10" s="3"/>
    </row>
    <row r="11" spans="1:24" ht="2.25" customHeight="1">
      <c r="A11" s="23"/>
      <c r="B11" s="23"/>
      <c r="C11" s="3"/>
      <c r="D11" s="3"/>
      <c r="E11" s="3"/>
      <c r="F11" s="3"/>
      <c r="G11" s="3"/>
      <c r="H11" s="3"/>
      <c r="I11" s="3"/>
      <c r="J11" s="3"/>
      <c r="K11" s="3"/>
      <c r="L11" s="3"/>
      <c r="M11" s="3"/>
      <c r="O11" s="3"/>
      <c r="P11" s="135"/>
      <c r="Q11" s="135"/>
      <c r="R11" s="135"/>
      <c r="S11" s="135"/>
      <c r="T11" s="135"/>
      <c r="U11" s="135"/>
      <c r="V11" s="135"/>
      <c r="W11" s="135"/>
      <c r="X11" s="3"/>
    </row>
    <row r="12" spans="1:24" ht="13.5" customHeight="1">
      <c r="A12" s="23"/>
      <c r="B12" s="23"/>
      <c r="C12" s="3"/>
      <c r="D12" s="143" t="s">
        <v>770</v>
      </c>
      <c r="E12" s="144"/>
      <c r="F12" s="78"/>
      <c r="G12" s="78"/>
      <c r="H12" s="79"/>
      <c r="I12" s="3"/>
      <c r="J12" s="143" t="s">
        <v>806</v>
      </c>
      <c r="K12" s="144"/>
      <c r="L12" s="79"/>
      <c r="M12" s="3"/>
      <c r="O12" s="3"/>
      <c r="P12" s="135"/>
      <c r="Q12" s="135"/>
      <c r="R12" s="135"/>
      <c r="S12" s="135"/>
      <c r="T12" s="135"/>
      <c r="U12" s="135"/>
      <c r="V12" s="135"/>
      <c r="W12" s="135"/>
      <c r="X12" s="89"/>
    </row>
    <row r="13" spans="1:24" ht="13.5" customHeight="1">
      <c r="A13" s="23"/>
      <c r="B13" s="2"/>
      <c r="C13" s="3"/>
      <c r="D13" s="80"/>
      <c r="H13" s="81"/>
      <c r="I13" s="3"/>
      <c r="J13" s="80"/>
      <c r="L13" s="81"/>
      <c r="M13" s="3"/>
      <c r="O13" s="3"/>
      <c r="P13" s="135"/>
      <c r="Q13" s="135"/>
      <c r="R13" s="135"/>
      <c r="S13" s="135"/>
      <c r="T13" s="135"/>
      <c r="U13" s="135"/>
      <c r="V13" s="135"/>
      <c r="W13" s="135"/>
      <c r="X13" s="89"/>
    </row>
    <row r="14" spans="1:24" ht="13.5" customHeight="1" thickBot="1">
      <c r="A14" s="2"/>
      <c r="B14" s="2"/>
      <c r="C14" s="3"/>
      <c r="D14" s="80"/>
      <c r="H14" s="81"/>
      <c r="I14" s="3"/>
      <c r="J14" s="80"/>
      <c r="L14" s="81"/>
      <c r="M14" s="3"/>
      <c r="O14" s="56"/>
      <c r="P14" s="136"/>
      <c r="Q14" s="136"/>
      <c r="R14" s="136"/>
      <c r="S14" s="136"/>
      <c r="T14" s="136"/>
      <c r="U14" s="136"/>
      <c r="V14" s="136"/>
      <c r="W14" s="136"/>
      <c r="X14" s="55"/>
    </row>
    <row r="15" spans="1:24" ht="13.5" customHeight="1" thickTop="1">
      <c r="A15" s="2"/>
      <c r="B15" s="2"/>
      <c r="C15" s="3"/>
      <c r="D15" s="80"/>
      <c r="H15" s="81"/>
      <c r="I15" s="3"/>
      <c r="J15" s="80"/>
      <c r="L15" s="81"/>
      <c r="M15" s="3"/>
      <c r="O15" s="3"/>
      <c r="P15" s="141" t="str">
        <f>Translations!$K$411</f>
        <v>Done with the lesson on this page? Answer these questions!</v>
      </c>
      <c r="Q15" s="141"/>
      <c r="R15" s="141"/>
      <c r="S15" s="141"/>
      <c r="T15" s="141"/>
      <c r="U15" s="141"/>
      <c r="V15" s="141"/>
      <c r="W15" s="141"/>
      <c r="X15" s="89"/>
    </row>
    <row r="16" spans="1:24" ht="13.5" customHeight="1">
      <c r="A16" s="2"/>
      <c r="B16" s="2"/>
      <c r="C16" s="3"/>
      <c r="D16" s="80"/>
      <c r="H16" s="81"/>
      <c r="I16" s="3"/>
      <c r="J16" s="80"/>
      <c r="L16" s="81"/>
      <c r="M16" s="3"/>
      <c r="O16" s="3"/>
      <c r="P16" s="141"/>
      <c r="Q16" s="141"/>
      <c r="R16" s="141"/>
      <c r="S16" s="141"/>
      <c r="T16" s="141"/>
      <c r="U16" s="141"/>
      <c r="V16" s="141"/>
      <c r="W16" s="141"/>
      <c r="X16" s="89"/>
    </row>
    <row r="17" spans="1:24" ht="13.5" customHeight="1" thickBot="1">
      <c r="A17" s="2"/>
      <c r="B17" s="2"/>
      <c r="C17" s="3"/>
      <c r="D17" s="80"/>
      <c r="H17" s="81"/>
      <c r="I17" s="3"/>
      <c r="J17" s="80"/>
      <c r="L17" s="81"/>
      <c r="M17" s="3"/>
      <c r="O17" s="56"/>
      <c r="P17" s="142"/>
      <c r="Q17" s="142"/>
      <c r="R17" s="142"/>
      <c r="S17" s="142"/>
      <c r="T17" s="142"/>
      <c r="U17" s="142"/>
      <c r="V17" s="142"/>
      <c r="W17" s="142"/>
      <c r="X17" s="55"/>
    </row>
    <row r="18" spans="1:24" ht="13.5" customHeight="1" thickTop="1">
      <c r="A18" s="2"/>
      <c r="B18" s="2"/>
      <c r="C18" s="3"/>
      <c r="D18" s="80"/>
      <c r="H18" s="81"/>
      <c r="I18" s="3"/>
      <c r="J18" s="80"/>
      <c r="L18" s="81"/>
      <c r="M18" s="3"/>
      <c r="O18" s="3"/>
      <c r="P18" s="120" t="str">
        <f>Translations!$K$412&amp;"-
"&amp;Translations!$K$413</f>
        <v>Discussion --
Have you used charts before? What kinds of charts have you seen?</v>
      </c>
      <c r="Q18" s="120"/>
      <c r="R18" s="120"/>
      <c r="S18" s="120"/>
      <c r="T18" s="120"/>
      <c r="U18" s="120"/>
      <c r="V18" s="120"/>
      <c r="W18" s="120"/>
      <c r="X18" s="3"/>
    </row>
    <row r="19" spans="1:24" ht="13.5" customHeight="1">
      <c r="A19" s="2"/>
      <c r="B19" s="2"/>
      <c r="C19" s="3"/>
      <c r="D19" s="80"/>
      <c r="H19" s="81"/>
      <c r="I19" s="3"/>
      <c r="J19" s="80"/>
      <c r="L19" s="81"/>
      <c r="M19" s="3"/>
      <c r="O19" s="3"/>
      <c r="P19" s="120"/>
      <c r="Q19" s="120"/>
      <c r="R19" s="120"/>
      <c r="S19" s="120"/>
      <c r="T19" s="120"/>
      <c r="U19" s="120"/>
      <c r="V19" s="120"/>
      <c r="W19" s="120"/>
      <c r="X19" s="3"/>
    </row>
    <row r="20" spans="1:24" ht="13.5" customHeight="1">
      <c r="A20" s="2"/>
      <c r="B20" s="2"/>
      <c r="C20" s="3"/>
      <c r="D20" s="80"/>
      <c r="H20" s="81"/>
      <c r="I20" s="3"/>
      <c r="J20" s="80"/>
      <c r="L20" s="81"/>
      <c r="M20" s="3"/>
      <c r="O20" s="3"/>
      <c r="P20" s="120"/>
      <c r="Q20" s="120"/>
      <c r="R20" s="120"/>
      <c r="S20" s="120"/>
      <c r="T20" s="120"/>
      <c r="U20" s="120"/>
      <c r="V20" s="120"/>
      <c r="W20" s="120"/>
      <c r="X20" s="3"/>
    </row>
    <row r="21" spans="1:24" ht="13.5" customHeight="1">
      <c r="A21" s="2"/>
      <c r="B21" s="2"/>
      <c r="C21" s="3"/>
      <c r="D21" s="82"/>
      <c r="E21" s="83"/>
      <c r="F21" s="83"/>
      <c r="G21" s="83"/>
      <c r="H21" s="84"/>
      <c r="I21" s="3"/>
      <c r="J21" s="82"/>
      <c r="K21" s="83"/>
      <c r="L21" s="84"/>
      <c r="M21" s="3"/>
      <c r="O21" s="3"/>
      <c r="P21" s="120"/>
      <c r="Q21" s="120"/>
      <c r="R21" s="120"/>
      <c r="S21" s="120"/>
      <c r="T21" s="120"/>
      <c r="U21" s="120"/>
      <c r="V21" s="120"/>
      <c r="W21" s="120"/>
      <c r="X21" s="3"/>
    </row>
    <row r="22" spans="1:24" ht="13.5" customHeight="1" thickBot="1">
      <c r="A22" s="2"/>
      <c r="B22" s="2"/>
      <c r="C22" s="3"/>
      <c r="D22" s="3"/>
      <c r="E22" s="3"/>
      <c r="F22" s="3"/>
      <c r="G22" s="3"/>
      <c r="H22" s="3"/>
      <c r="I22" s="3"/>
      <c r="J22" s="3"/>
      <c r="K22" s="3"/>
      <c r="L22" s="3"/>
      <c r="M22" s="3"/>
      <c r="O22" s="56"/>
      <c r="P22" s="121"/>
      <c r="Q22" s="121"/>
      <c r="R22" s="121"/>
      <c r="S22" s="121"/>
      <c r="T22" s="121"/>
      <c r="U22" s="121"/>
      <c r="V22" s="121"/>
      <c r="W22" s="121"/>
      <c r="X22" s="56"/>
    </row>
    <row r="23" spans="1:24" ht="13.5" customHeight="1" thickTop="1">
      <c r="A23" s="2"/>
      <c r="B23" s="2"/>
      <c r="C23" s="3"/>
      <c r="D23" s="143" t="s">
        <v>774</v>
      </c>
      <c r="E23" s="144"/>
      <c r="F23" s="78"/>
      <c r="G23" s="78"/>
      <c r="H23" s="79"/>
      <c r="I23" s="3"/>
      <c r="J23" s="143" t="s">
        <v>706</v>
      </c>
      <c r="K23" s="144"/>
      <c r="L23" s="79"/>
      <c r="M23" s="3"/>
      <c r="O23" s="3"/>
      <c r="P23" s="134" t="str">
        <f>Badge!$E$3</f>
        <v>Q1. Which chart can be used to visualize and calculate the trend in a set of values?</v>
      </c>
      <c r="Q23" s="134"/>
      <c r="R23" s="134"/>
      <c r="S23" s="134"/>
      <c r="T23" s="134"/>
      <c r="U23" s="134"/>
      <c r="V23" s="134"/>
      <c r="W23" s="134"/>
      <c r="X23" s="3"/>
    </row>
    <row r="24" spans="1:24" ht="18" customHeight="1" thickBot="1">
      <c r="A24" s="2"/>
      <c r="B24" s="2"/>
      <c r="C24" s="3"/>
      <c r="D24" s="80"/>
      <c r="H24" s="81"/>
      <c r="I24" s="3"/>
      <c r="J24" s="80"/>
      <c r="L24" s="81"/>
      <c r="M24" s="3"/>
      <c r="O24" s="3"/>
      <c r="P24" s="134"/>
      <c r="Q24" s="134"/>
      <c r="R24" s="134"/>
      <c r="S24" s="134"/>
      <c r="T24" s="134"/>
      <c r="U24" s="134"/>
      <c r="V24" s="134"/>
      <c r="W24" s="134"/>
      <c r="X24" s="3"/>
    </row>
    <row r="25" spans="1:24" ht="13.5" customHeight="1">
      <c r="A25" s="2"/>
      <c r="B25" s="2"/>
      <c r="C25" s="3"/>
      <c r="D25" s="80"/>
      <c r="H25" s="81"/>
      <c r="I25" s="3"/>
      <c r="J25" s="80"/>
      <c r="L25" s="81"/>
      <c r="M25" s="3"/>
      <c r="O25" s="3"/>
      <c r="P25" s="112"/>
      <c r="Q25" s="113"/>
      <c r="R25" s="113"/>
      <c r="S25" s="113"/>
      <c r="T25" s="113"/>
      <c r="U25" s="114"/>
      <c r="V25" s="118" t="str">
        <f ca="1">Badge!$I$3</f>
        <v/>
      </c>
      <c r="W25" s="118"/>
      <c r="X25" s="3"/>
    </row>
    <row r="26" spans="1:24" ht="13.5" customHeight="1" thickBot="1">
      <c r="A26" s="2"/>
      <c r="B26" s="2"/>
      <c r="C26" s="3"/>
      <c r="D26" s="80"/>
      <c r="H26" s="81"/>
      <c r="I26" s="3"/>
      <c r="J26" s="80"/>
      <c r="L26" s="81"/>
      <c r="M26" s="3"/>
      <c r="O26" s="3"/>
      <c r="P26" s="115"/>
      <c r="Q26" s="116"/>
      <c r="R26" s="116"/>
      <c r="S26" s="116"/>
      <c r="T26" s="116"/>
      <c r="U26" s="117"/>
      <c r="V26" s="118"/>
      <c r="W26" s="118"/>
      <c r="X26" s="3"/>
    </row>
    <row r="27" spans="1:24" ht="13.5" customHeight="1">
      <c r="A27" s="2"/>
      <c r="B27" s="2"/>
      <c r="C27" s="3"/>
      <c r="D27" s="80"/>
      <c r="H27" s="81"/>
      <c r="I27" s="3"/>
      <c r="J27" s="80"/>
      <c r="L27" s="81"/>
      <c r="M27" s="3"/>
      <c r="O27" s="3"/>
      <c r="P27" s="3"/>
      <c r="Q27" s="3"/>
      <c r="R27" s="3"/>
      <c r="S27" s="3"/>
      <c r="T27" s="3"/>
      <c r="U27" s="3"/>
      <c r="V27" s="3"/>
      <c r="W27" s="3"/>
      <c r="X27" s="3"/>
    </row>
    <row r="28" spans="1:24" ht="13.5" customHeight="1">
      <c r="A28" s="2"/>
      <c r="B28" s="2"/>
      <c r="C28" s="3"/>
      <c r="D28" s="80"/>
      <c r="H28" s="81"/>
      <c r="I28" s="3"/>
      <c r="J28" s="80"/>
      <c r="L28" s="81"/>
      <c r="M28" s="3"/>
    </row>
    <row r="29" spans="1:24" ht="13.5" customHeight="1">
      <c r="A29" s="2"/>
      <c r="B29" s="2"/>
      <c r="C29" s="3"/>
      <c r="D29" s="80"/>
      <c r="H29" s="81"/>
      <c r="I29" s="3"/>
      <c r="J29" s="80"/>
      <c r="L29" s="81"/>
      <c r="M29" s="3"/>
      <c r="O29" s="3"/>
      <c r="P29" s="129" t="str">
        <f ca="1">Badge!$J$11</f>
        <v>Keep going to get your Space Data Badge!</v>
      </c>
      <c r="Q29" s="129"/>
      <c r="R29" s="129"/>
      <c r="S29" s="129"/>
      <c r="T29" s="129"/>
      <c r="U29" s="129"/>
      <c r="V29" s="129"/>
      <c r="W29" s="129"/>
      <c r="X29" s="3"/>
    </row>
    <row r="30" spans="1:24" ht="13.5" customHeight="1">
      <c r="A30" s="2"/>
      <c r="B30" s="2"/>
      <c r="C30" s="3"/>
      <c r="D30" s="80"/>
      <c r="H30" s="81"/>
      <c r="I30" s="3"/>
      <c r="J30" s="80"/>
      <c r="L30" s="81"/>
      <c r="M30" s="3"/>
      <c r="O30" s="3"/>
      <c r="P30" s="129"/>
      <c r="Q30" s="129"/>
      <c r="R30" s="129"/>
      <c r="S30" s="129"/>
      <c r="T30" s="129"/>
      <c r="U30" s="129"/>
      <c r="V30" s="129"/>
      <c r="W30" s="129"/>
      <c r="X30" s="3"/>
    </row>
    <row r="31" spans="1:24" ht="13.5" customHeight="1">
      <c r="A31" s="2"/>
      <c r="B31" s="2"/>
      <c r="C31" s="3"/>
      <c r="D31" s="80"/>
      <c r="H31" s="81"/>
      <c r="I31" s="3"/>
      <c r="J31" s="80"/>
      <c r="L31" s="81"/>
      <c r="M31" s="3"/>
      <c r="O31" s="3"/>
      <c r="P31" s="129"/>
      <c r="Q31" s="129"/>
      <c r="R31" s="129"/>
      <c r="S31" s="129"/>
      <c r="T31" s="129"/>
      <c r="U31" s="129"/>
      <c r="V31" s="129"/>
      <c r="W31" s="129"/>
      <c r="X31" s="3"/>
    </row>
    <row r="32" spans="1:24" ht="0.75" customHeight="1" thickBot="1">
      <c r="A32" s="2"/>
      <c r="B32" s="2"/>
      <c r="C32" s="3"/>
      <c r="D32" s="80"/>
      <c r="H32" s="81"/>
      <c r="I32" s="3"/>
      <c r="J32" s="80"/>
      <c r="L32" s="81"/>
      <c r="M32" s="3"/>
      <c r="O32" s="3"/>
      <c r="P32" s="91"/>
      <c r="Q32" s="91"/>
      <c r="R32" s="91"/>
      <c r="S32" s="91"/>
      <c r="T32" s="91"/>
      <c r="U32" s="91"/>
      <c r="V32" s="91"/>
      <c r="W32" s="91"/>
      <c r="X32" s="3"/>
    </row>
    <row r="33" spans="1:24" ht="13.5" customHeight="1" thickBot="1">
      <c r="A33" s="2"/>
      <c r="B33" s="2"/>
      <c r="C33" s="3"/>
      <c r="D33" s="82"/>
      <c r="E33" s="83"/>
      <c r="F33" s="83"/>
      <c r="G33" s="83"/>
      <c r="H33" s="84"/>
      <c r="I33" s="3"/>
      <c r="J33" s="82"/>
      <c r="K33" s="83"/>
      <c r="L33" s="84"/>
      <c r="M33" s="3"/>
      <c r="O33" s="3"/>
      <c r="P33" s="125" t="str">
        <f ca="1">Badge!$C$3</f>
        <v>Q1</v>
      </c>
      <c r="Q33" s="127" t="str">
        <f ca="1">Badge!$C$4</f>
        <v>Q2</v>
      </c>
      <c r="R33" s="127" t="str">
        <f ca="1">Badge!$C$5</f>
        <v>Q3</v>
      </c>
      <c r="S33" s="127" t="str">
        <f ca="1">Badge!$C$6</f>
        <v>Q4</v>
      </c>
      <c r="T33" s="127" t="str">
        <f ca="1">Badge!$C$7</f>
        <v>Q5</v>
      </c>
      <c r="U33" s="122" t="str">
        <f ca="1">Badge!$C$8</f>
        <v>Q6</v>
      </c>
      <c r="V33" s="31"/>
      <c r="W33" s="124" t="str">
        <f>Translations!$K$11</f>
        <v>Next</v>
      </c>
      <c r="X33" s="3"/>
    </row>
    <row r="34" spans="1:24" ht="13.5" customHeight="1" thickBot="1">
      <c r="A34" s="2"/>
      <c r="B34" s="2"/>
      <c r="C34" s="3"/>
      <c r="D34" s="3"/>
      <c r="E34" s="3"/>
      <c r="F34" s="3"/>
      <c r="G34" s="3"/>
      <c r="H34" s="3"/>
      <c r="I34" s="3"/>
      <c r="J34" s="3"/>
      <c r="K34" s="3"/>
      <c r="L34" s="3"/>
      <c r="M34" s="3"/>
      <c r="O34" s="3"/>
      <c r="P34" s="126"/>
      <c r="Q34" s="128"/>
      <c r="R34" s="128"/>
      <c r="S34" s="128"/>
      <c r="T34" s="128"/>
      <c r="U34" s="123"/>
      <c r="V34" s="3"/>
      <c r="W34" s="124"/>
      <c r="X34" s="3"/>
    </row>
    <row r="35" spans="1:24" ht="13.5" customHeight="1">
      <c r="A35" s="2"/>
      <c r="B35" s="2"/>
      <c r="C35" s="3"/>
      <c r="D35" s="3"/>
      <c r="E35" s="3"/>
      <c r="F35" s="3"/>
      <c r="G35" s="3"/>
      <c r="H35" s="3"/>
      <c r="I35" s="3"/>
      <c r="J35" s="3"/>
      <c r="K35" s="3"/>
      <c r="L35" s="3"/>
      <c r="M35" s="3"/>
      <c r="O35" s="3"/>
      <c r="P35" s="3"/>
      <c r="Q35" s="3"/>
      <c r="R35" s="3"/>
      <c r="S35" s="3"/>
      <c r="T35" s="3"/>
      <c r="U35" s="3"/>
      <c r="V35" s="3"/>
      <c r="W35" s="3"/>
      <c r="X35" s="3"/>
    </row>
    <row r="36" spans="1:24"/>
  </sheetData>
  <mergeCells count="24">
    <mergeCell ref="C2:H3"/>
    <mergeCell ref="C4:J6"/>
    <mergeCell ref="D7:H9"/>
    <mergeCell ref="J7:L9"/>
    <mergeCell ref="P23:W24"/>
    <mergeCell ref="P7:W14"/>
    <mergeCell ref="K4:L5"/>
    <mergeCell ref="P15:W17"/>
    <mergeCell ref="D12:E12"/>
    <mergeCell ref="J12:K12"/>
    <mergeCell ref="J23:K23"/>
    <mergeCell ref="D23:E23"/>
    <mergeCell ref="P25:U26"/>
    <mergeCell ref="V25:W26"/>
    <mergeCell ref="P4:W5"/>
    <mergeCell ref="P18:W22"/>
    <mergeCell ref="U33:U34"/>
    <mergeCell ref="W33:W34"/>
    <mergeCell ref="P33:P34"/>
    <mergeCell ref="Q33:Q34"/>
    <mergeCell ref="R33:R34"/>
    <mergeCell ref="S33:S34"/>
    <mergeCell ref="T33:T34"/>
    <mergeCell ref="P29:W31"/>
  </mergeCells>
  <hyperlinks>
    <hyperlink ref="W33:W34" location="'2.Visualizing with SIZE'!A1" display="Next " xr:uid="{784B8619-DA94-495A-B9E2-FC1B432CD743}"/>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8" id="{C430380C-3406-4030-83F6-F47EEB28238C}">
            <xm:f>'Tab1 Backend'!$Z$7=1</xm:f>
            <x14:dxf>
              <fill>
                <patternFill>
                  <bgColor theme="0"/>
                </patternFill>
              </fill>
            </x14:dxf>
          </x14:cfRule>
          <xm:sqref>D7:H9 J7:L9</xm:sqref>
        </x14:conditionalFormatting>
        <x14:conditionalFormatting xmlns:xm="http://schemas.microsoft.com/office/excel/2006/main">
          <x14:cfRule type="expression" priority="4" id="{52D1930B-41EF-40B2-8A0B-4ABAB82B423E}">
            <xm:f>_xlfn.XLOOKUP(P33,Badge!$C$3:$C$8,Badge!$J$3:$J$8)=0</xm:f>
            <x14:dxf>
              <font>
                <color theme="3"/>
              </font>
              <fill>
                <patternFill>
                  <bgColor rgb="FFE0E0E0"/>
                </patternFill>
              </fill>
            </x14:dxf>
          </x14:cfRule>
          <x14:cfRule type="expression" priority="5" id="{11E6C482-AE35-4379-8047-E87D78A8C520}">
            <xm:f>_xlfn.XLOOKUP(P33,Badge!$C$3:$C$8,Badge!$J$3:$J$8)=1</xm:f>
            <x14:dxf>
              <font>
                <color theme="0"/>
              </font>
              <fill>
                <patternFill>
                  <bgColor theme="5"/>
                </patternFill>
              </fill>
            </x14:dxf>
          </x14:cfRule>
          <xm:sqref>P33:U34</xm:sqref>
        </x14:conditionalFormatting>
        <x14:conditionalFormatting xmlns:xm="http://schemas.microsoft.com/office/excel/2006/main">
          <x14:cfRule type="expression" priority="2" id="{72AB3CCC-EE7C-45D3-9E04-320B52F75F89}">
            <xm:f>$V$25=Badge!$H$3</xm:f>
            <x14:dxf>
              <font>
                <color theme="4" tint="-0.499984740745262"/>
              </font>
              <fill>
                <patternFill>
                  <bgColor theme="4" tint="0.79998168889431442"/>
                </patternFill>
              </fill>
            </x14:dxf>
          </x14:cfRule>
          <x14:cfRule type="expression" priority="3" id="{D5FA37AC-203B-4429-8AA8-7530A5630B6B}">
            <xm:f>$V$25=Badge!$G$3</xm:f>
            <x14:dxf>
              <font>
                <color theme="8" tint="-0.499984740745262"/>
              </font>
              <fill>
                <patternFill>
                  <bgColor theme="8" tint="0.79998168889431442"/>
                </patternFill>
              </fill>
            </x14:dxf>
          </x14:cfRule>
          <xm:sqref>V25:V26</xm:sqref>
        </x14:conditionalFormatting>
        <x14:conditionalFormatting xmlns:xm="http://schemas.microsoft.com/office/excel/2006/main">
          <x14:cfRule type="expression" priority="1" id="{206066EB-2EFE-48E1-AB1D-16495D78A680}">
            <xm:f>Badge!$J$3=0</xm:f>
            <x14:dxf>
              <font>
                <color theme="3"/>
              </font>
              <fill>
                <patternFill>
                  <bgColor rgb="FFE0E0E0"/>
                </patternFill>
              </fill>
            </x14:dxf>
          </x14:cfRule>
          <xm:sqref>W33:W34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3E61DEF-2D54-4408-A504-6BF39A3D4A1E}">
          <x14:formula1>
            <xm:f>'Tab1 Backend'!$Z$9:$Z$13</xm:f>
          </x14:formula1>
          <xm:sqref>K4</xm:sqref>
        </x14:dataValidation>
        <x14:dataValidation type="list" allowBlank="1" showInputMessage="1" showErrorMessage="1" xr:uid="{85452728-65ED-4E6C-9967-0C680CCC8B4C}">
          <x14:formula1>
            <xm:f>Badge!$O$3:$O$7</xm:f>
          </x14:formula1>
          <xm:sqref>P25:U26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FCCD6-364A-459A-9E3C-64A5829A3BFB}">
  <sheetPr codeName="Sheet8">
    <tabColor theme="7"/>
  </sheetPr>
  <dimension ref="A1:W34"/>
  <sheetViews>
    <sheetView zoomScale="115" zoomScaleNormal="115" workbookViewId="0">
      <selection activeCell="G31" sqref="G31"/>
    </sheetView>
  </sheetViews>
  <sheetFormatPr defaultColWidth="0" defaultRowHeight="16.5" customHeight="1" zeroHeight="1"/>
  <cols>
    <col min="1" max="1" width="0.25" style="24" customWidth="1"/>
    <col min="2" max="2" width="2.25" style="24" customWidth="1"/>
    <col min="3" max="3" width="2.5" style="2" customWidth="1"/>
    <col min="4" max="4" width="12.5" style="2" customWidth="1"/>
    <col min="5" max="6" width="20" style="2" customWidth="1"/>
    <col min="7" max="7" width="21.625" style="2" customWidth="1"/>
    <col min="8" max="8" width="23.375" style="2" customWidth="1"/>
    <col min="9" max="9" width="20" style="2" customWidth="1"/>
    <col min="10" max="10" width="2.5" style="2" customWidth="1"/>
    <col min="11" max="11" width="2.25" style="2" customWidth="1"/>
    <col min="12" max="12" width="2.5" style="2" customWidth="1"/>
    <col min="13" max="18" width="4.5" style="2" customWidth="1"/>
    <col min="19" max="19" width="10" style="2" customWidth="1"/>
    <col min="20" max="20" width="12.5" style="2" customWidth="1"/>
    <col min="21" max="22" width="2.5" style="2" customWidth="1"/>
    <col min="23" max="23" width="2.5" style="2" hidden="1" customWidth="1"/>
    <col min="24" max="16384" width="9.375" style="2" hidden="1"/>
  </cols>
  <sheetData>
    <row r="1" spans="1:23" s="24" customFormat="1" ht="6" customHeight="1">
      <c r="A1" s="23" t="str">
        <f>C2</f>
        <v>How much can rockets carry to space?</v>
      </c>
      <c r="B1" s="23"/>
      <c r="C1" s="2"/>
      <c r="D1" s="23"/>
      <c r="E1" s="2"/>
      <c r="F1" s="2"/>
      <c r="G1" s="2"/>
      <c r="H1" s="2"/>
      <c r="I1" s="2"/>
      <c r="J1" s="2"/>
      <c r="K1" s="2"/>
      <c r="L1" s="2"/>
      <c r="M1" s="2"/>
      <c r="N1" s="2"/>
      <c r="O1" s="2"/>
      <c r="P1" s="2"/>
      <c r="Q1" s="2"/>
      <c r="R1" s="2"/>
      <c r="S1" s="2"/>
      <c r="T1" s="2"/>
      <c r="U1" s="2"/>
      <c r="V1" s="2"/>
      <c r="W1" s="2"/>
    </row>
    <row r="2" spans="1:23" ht="13.5" customHeight="1" thickBot="1">
      <c r="A2" s="23" t="str">
        <f>C4</f>
        <v>Learn how to use a column chart to organize and analyze rocket payload data.</v>
      </c>
      <c r="B2" s="2"/>
      <c r="C2" s="130" t="str">
        <f>Translations!K415</f>
        <v>How much can rockets carry to space?</v>
      </c>
      <c r="D2" s="130"/>
      <c r="E2" s="130"/>
      <c r="F2" s="130"/>
    </row>
    <row r="3" spans="1:23" ht="13.5" customHeight="1" thickBot="1">
      <c r="A3" s="23" t="s">
        <v>812</v>
      </c>
      <c r="B3" s="2"/>
      <c r="C3" s="130"/>
      <c r="D3" s="130"/>
      <c r="E3" s="130"/>
      <c r="F3" s="130"/>
      <c r="I3" s="47" t="str">
        <f>Translations!$K$155</f>
        <v>Choose ↓</v>
      </c>
      <c r="L3" s="3"/>
      <c r="M3" s="43"/>
      <c r="N3" s="43"/>
      <c r="O3" s="43"/>
      <c r="P3" s="43"/>
      <c r="Q3" s="43"/>
      <c r="R3" s="43"/>
      <c r="S3" s="43"/>
      <c r="T3" s="43"/>
      <c r="U3" s="3"/>
    </row>
    <row r="4" spans="1:23" ht="13.5" customHeight="1">
      <c r="A4" s="23" t="s">
        <v>814</v>
      </c>
      <c r="B4" s="2"/>
      <c r="C4" s="145" t="str">
        <f>Translations!K416</f>
        <v>Learn how to use a column chart to organize and analyze rocket payload data.</v>
      </c>
      <c r="D4" s="145"/>
      <c r="E4" s="145"/>
      <c r="F4" s="145"/>
      <c r="G4" s="145"/>
      <c r="H4" s="137" t="s">
        <v>591</v>
      </c>
      <c r="I4" s="138"/>
      <c r="L4" s="3"/>
      <c r="M4" s="119" t="str">
        <f>DD_P2_Step</f>
        <v>What is a column chart?</v>
      </c>
      <c r="N4" s="119"/>
      <c r="O4" s="119"/>
      <c r="P4" s="119"/>
      <c r="Q4" s="119"/>
      <c r="R4" s="119"/>
      <c r="S4" s="119"/>
      <c r="T4" s="119"/>
      <c r="U4" s="3"/>
    </row>
    <row r="5" spans="1:23" ht="13.5" customHeight="1" thickBot="1">
      <c r="A5" s="23" t="s">
        <v>816</v>
      </c>
      <c r="B5" s="2"/>
      <c r="C5" s="145"/>
      <c r="D5" s="145"/>
      <c r="E5" s="145"/>
      <c r="F5" s="145"/>
      <c r="G5" s="145"/>
      <c r="H5" s="139"/>
      <c r="I5" s="140"/>
      <c r="L5" s="3"/>
      <c r="M5" s="119"/>
      <c r="N5" s="119"/>
      <c r="O5" s="119"/>
      <c r="P5" s="119"/>
      <c r="Q5" s="119"/>
      <c r="R5" s="119"/>
      <c r="S5" s="119"/>
      <c r="T5" s="119"/>
      <c r="U5" s="3"/>
    </row>
    <row r="6" spans="1:23" ht="13.5" customHeight="1">
      <c r="A6" s="23" t="str">
        <f>Translations!$K$420</f>
        <v>Discussion: Why do you think rockets can carry different sizes of payloads? Check your knowledge: Use the table in cells F22 to H31 to answer the question in cell M21.</v>
      </c>
      <c r="B6" s="2"/>
      <c r="C6" s="145"/>
      <c r="D6" s="145"/>
      <c r="E6" s="145"/>
      <c r="F6" s="145"/>
      <c r="G6" s="145"/>
      <c r="L6" s="3"/>
      <c r="M6" s="146" t="str" cm="1">
        <f t="array" ref="M6">INDEX(TblB_P2_DD[Text1],'Tab1 Backend'!$N$7)</f>
        <v>A column chart is a way to visualize data that uses the size of vertical bars to quickly show a value. The brain can interpret differences in sizes faster than in numbers, and a column chart utilizes this to great effect.</v>
      </c>
      <c r="N6" s="146"/>
      <c r="O6" s="146"/>
      <c r="P6" s="146"/>
      <c r="Q6" s="146"/>
      <c r="R6" s="146"/>
      <c r="S6" s="146"/>
      <c r="T6" s="146"/>
      <c r="U6" s="3"/>
    </row>
    <row r="7" spans="1:23" ht="18" customHeight="1">
      <c r="A7" s="23" t="str">
        <f>Translations!$K$10</f>
        <v>Press Ctrl key plus page down key to go to the next page.</v>
      </c>
      <c r="B7" s="2"/>
      <c r="C7" s="3"/>
      <c r="D7" s="3"/>
      <c r="E7" s="3"/>
      <c r="F7" s="3"/>
      <c r="G7" s="3"/>
      <c r="H7" s="3"/>
      <c r="I7" s="3"/>
      <c r="J7" s="3"/>
      <c r="L7" s="3"/>
      <c r="M7" s="146"/>
      <c r="N7" s="146"/>
      <c r="O7" s="146"/>
      <c r="P7" s="146"/>
      <c r="Q7" s="146"/>
      <c r="R7" s="146"/>
      <c r="S7" s="146"/>
      <c r="T7" s="146"/>
      <c r="U7" s="3"/>
    </row>
    <row r="8" spans="1:23" ht="13.5" customHeight="1">
      <c r="A8" s="23"/>
      <c r="B8" s="2"/>
      <c r="C8" s="3"/>
      <c r="D8" s="3"/>
      <c r="E8" s="3"/>
      <c r="F8" s="3"/>
      <c r="G8" s="3"/>
      <c r="H8" s="3"/>
      <c r="I8" s="3"/>
      <c r="J8" s="3"/>
      <c r="L8" s="3"/>
      <c r="M8" s="146"/>
      <c r="N8" s="146"/>
      <c r="O8" s="146"/>
      <c r="P8" s="146"/>
      <c r="Q8" s="146"/>
      <c r="R8" s="146"/>
      <c r="S8" s="146"/>
      <c r="T8" s="146"/>
      <c r="U8" s="3"/>
    </row>
    <row r="9" spans="1:23" ht="13.5" customHeight="1">
      <c r="A9" s="23"/>
      <c r="B9" s="2"/>
      <c r="C9" s="3"/>
      <c r="D9" s="3"/>
      <c r="E9" s="3"/>
      <c r="F9" s="3"/>
      <c r="G9" s="3"/>
      <c r="H9" s="3"/>
      <c r="I9" s="3"/>
      <c r="J9" s="3"/>
      <c r="L9" s="3"/>
      <c r="M9" s="146"/>
      <c r="N9" s="146"/>
      <c r="O9" s="146"/>
      <c r="P9" s="146"/>
      <c r="Q9" s="146"/>
      <c r="R9" s="146"/>
      <c r="S9" s="146"/>
      <c r="T9" s="146"/>
      <c r="U9" s="3"/>
    </row>
    <row r="10" spans="1:23" ht="13.5" customHeight="1">
      <c r="A10" s="23"/>
      <c r="B10" s="2"/>
      <c r="C10" s="3"/>
      <c r="D10" s="3"/>
      <c r="E10" s="3"/>
      <c r="F10" s="3"/>
      <c r="G10" s="3"/>
      <c r="H10" s="3"/>
      <c r="I10" s="3"/>
      <c r="J10" s="3"/>
      <c r="L10" s="3"/>
      <c r="M10" s="146"/>
      <c r="N10" s="146"/>
      <c r="O10" s="146"/>
      <c r="P10" s="146"/>
      <c r="Q10" s="146"/>
      <c r="R10" s="146"/>
      <c r="S10" s="146"/>
      <c r="T10" s="146"/>
      <c r="U10" s="89"/>
    </row>
    <row r="11" spans="1:23" ht="13.5" customHeight="1">
      <c r="A11" s="2"/>
      <c r="B11" s="2"/>
      <c r="C11" s="3"/>
      <c r="D11" s="3"/>
      <c r="E11" s="3"/>
      <c r="F11" s="3"/>
      <c r="G11" s="3"/>
      <c r="H11" s="3"/>
      <c r="I11" s="3"/>
      <c r="J11" s="3"/>
      <c r="L11" s="3"/>
      <c r="M11" s="146"/>
      <c r="N11" s="146"/>
      <c r="O11" s="146"/>
      <c r="P11" s="146"/>
      <c r="Q11" s="146"/>
      <c r="R11" s="146"/>
      <c r="S11" s="146"/>
      <c r="T11" s="146"/>
      <c r="U11" s="89"/>
    </row>
    <row r="12" spans="1:23" ht="13.5" customHeight="1" thickBot="1">
      <c r="A12" s="2"/>
      <c r="B12" s="2"/>
      <c r="C12" s="3"/>
      <c r="D12" s="3"/>
      <c r="E12" s="3"/>
      <c r="F12" s="3"/>
      <c r="G12" s="3"/>
      <c r="H12" s="3"/>
      <c r="I12" s="3"/>
      <c r="J12" s="3"/>
      <c r="L12" s="56"/>
      <c r="M12" s="147"/>
      <c r="N12" s="147"/>
      <c r="O12" s="147"/>
      <c r="P12" s="147"/>
      <c r="Q12" s="147"/>
      <c r="R12" s="147"/>
      <c r="S12" s="147"/>
      <c r="T12" s="147"/>
      <c r="U12" s="55"/>
      <c r="V12" s="54"/>
    </row>
    <row r="13" spans="1:23" ht="13.5" customHeight="1" thickTop="1">
      <c r="A13" s="2"/>
      <c r="B13" s="2"/>
      <c r="C13" s="3"/>
      <c r="D13" s="3"/>
      <c r="E13" s="3"/>
      <c r="F13" s="3"/>
      <c r="G13" s="3"/>
      <c r="H13" s="3"/>
      <c r="I13" s="3"/>
      <c r="J13" s="3"/>
      <c r="L13" s="3"/>
      <c r="M13" s="141" t="str">
        <f>Translations!$K$411</f>
        <v>Done with the lesson on this page? Answer these questions!</v>
      </c>
      <c r="N13" s="141"/>
      <c r="O13" s="141"/>
      <c r="P13" s="141"/>
      <c r="Q13" s="141"/>
      <c r="R13" s="141"/>
      <c r="S13" s="141"/>
      <c r="T13" s="141"/>
      <c r="U13" s="89"/>
    </row>
    <row r="14" spans="1:23" ht="13.5" customHeight="1">
      <c r="A14" s="2"/>
      <c r="B14" s="2"/>
      <c r="C14" s="3"/>
      <c r="D14" s="3"/>
      <c r="E14" s="3"/>
      <c r="F14" s="3"/>
      <c r="G14" s="3"/>
      <c r="H14" s="3"/>
      <c r="I14" s="3"/>
      <c r="J14" s="3"/>
      <c r="L14" s="3"/>
      <c r="M14" s="141"/>
      <c r="N14" s="141"/>
      <c r="O14" s="141"/>
      <c r="P14" s="141"/>
      <c r="Q14" s="141"/>
      <c r="R14" s="141"/>
      <c r="S14" s="141"/>
      <c r="T14" s="141"/>
      <c r="U14" s="89"/>
    </row>
    <row r="15" spans="1:23" ht="13.5" customHeight="1" thickBot="1">
      <c r="A15" s="2"/>
      <c r="B15" s="2"/>
      <c r="C15" s="3"/>
      <c r="D15" s="3"/>
      <c r="E15" s="3"/>
      <c r="F15" s="3"/>
      <c r="G15" s="3"/>
      <c r="H15" s="3"/>
      <c r="I15" s="3"/>
      <c r="J15" s="3"/>
      <c r="L15" s="56"/>
      <c r="M15" s="142"/>
      <c r="N15" s="142"/>
      <c r="O15" s="142"/>
      <c r="P15" s="142"/>
      <c r="Q15" s="142"/>
      <c r="R15" s="142"/>
      <c r="S15" s="142"/>
      <c r="T15" s="142"/>
      <c r="U15" s="55"/>
    </row>
    <row r="16" spans="1:23" ht="13.5" customHeight="1" thickTop="1">
      <c r="A16" s="2"/>
      <c r="B16" s="2"/>
      <c r="C16" s="3"/>
      <c r="D16" s="3"/>
      <c r="E16" s="3"/>
      <c r="F16" s="3"/>
      <c r="G16" s="3"/>
      <c r="H16" s="3"/>
      <c r="I16" s="3"/>
      <c r="J16" s="3"/>
      <c r="L16" s="3"/>
      <c r="M16" s="120" t="str">
        <f>Translations!$K$412&amp;"-
"&amp;Translations!$K$423</f>
        <v>Discussion --
Why do you think rockets can carry different sizes of payloads?</v>
      </c>
      <c r="N16" s="120"/>
      <c r="O16" s="120"/>
      <c r="P16" s="120"/>
      <c r="Q16" s="120"/>
      <c r="R16" s="120"/>
      <c r="S16" s="120"/>
      <c r="T16" s="120"/>
      <c r="U16" s="89"/>
    </row>
    <row r="17" spans="1:22" ht="13.5" customHeight="1">
      <c r="A17" s="2"/>
      <c r="B17" s="2"/>
      <c r="C17" s="3"/>
      <c r="D17" s="3"/>
      <c r="E17" s="3"/>
      <c r="F17" s="3"/>
      <c r="G17" s="3"/>
      <c r="H17" s="3"/>
      <c r="I17" s="3"/>
      <c r="J17" s="3"/>
      <c r="L17" s="3"/>
      <c r="M17" s="120"/>
      <c r="N17" s="120"/>
      <c r="O17" s="120"/>
      <c r="P17" s="120"/>
      <c r="Q17" s="120"/>
      <c r="R17" s="120"/>
      <c r="S17" s="120"/>
      <c r="T17" s="120"/>
      <c r="U17" s="3"/>
    </row>
    <row r="18" spans="1:22" ht="13.5" customHeight="1">
      <c r="A18" s="2"/>
      <c r="B18" s="2"/>
      <c r="C18" s="3"/>
      <c r="D18" s="3"/>
      <c r="E18" s="3"/>
      <c r="F18" s="3"/>
      <c r="G18" s="3"/>
      <c r="H18" s="3"/>
      <c r="I18" s="3"/>
      <c r="J18" s="3"/>
      <c r="L18" s="3"/>
      <c r="M18" s="120"/>
      <c r="N18" s="120"/>
      <c r="O18" s="120"/>
      <c r="P18" s="120"/>
      <c r="Q18" s="120"/>
      <c r="R18" s="120"/>
      <c r="S18" s="120"/>
      <c r="T18" s="120"/>
      <c r="U18" s="3"/>
    </row>
    <row r="19" spans="1:22" ht="13.5" customHeight="1">
      <c r="A19" s="2"/>
      <c r="B19" s="2"/>
      <c r="C19" s="3"/>
      <c r="D19" s="3"/>
      <c r="E19" s="3"/>
      <c r="F19" s="3"/>
      <c r="G19" s="3"/>
      <c r="H19" s="3"/>
      <c r="I19" s="3"/>
      <c r="J19" s="3"/>
      <c r="L19" s="3"/>
      <c r="M19" s="120"/>
      <c r="N19" s="120"/>
      <c r="O19" s="120"/>
      <c r="P19" s="120"/>
      <c r="Q19" s="120"/>
      <c r="R19" s="120"/>
      <c r="S19" s="120"/>
      <c r="T19" s="120"/>
      <c r="U19" s="3"/>
    </row>
    <row r="20" spans="1:22" ht="13.5" customHeight="1" thickBot="1">
      <c r="A20" s="2"/>
      <c r="B20" s="2"/>
      <c r="C20" s="3"/>
      <c r="D20" s="3"/>
      <c r="E20" s="3"/>
      <c r="F20" s="3"/>
      <c r="G20" s="3"/>
      <c r="H20" s="3"/>
      <c r="I20" s="3"/>
      <c r="J20" s="3"/>
      <c r="L20" s="56"/>
      <c r="M20" s="121"/>
      <c r="N20" s="121"/>
      <c r="O20" s="121"/>
      <c r="P20" s="121"/>
      <c r="Q20" s="121"/>
      <c r="R20" s="121"/>
      <c r="S20" s="121"/>
      <c r="T20" s="121"/>
      <c r="U20" s="56"/>
      <c r="V20" s="54"/>
    </row>
    <row r="21" spans="1:22" ht="13.5" customHeight="1" thickTop="1">
      <c r="A21" s="2"/>
      <c r="B21" s="2"/>
      <c r="C21" s="3"/>
      <c r="D21" s="3"/>
      <c r="E21" s="3"/>
      <c r="F21" s="3"/>
      <c r="G21" s="3"/>
      <c r="H21" s="3"/>
      <c r="I21" s="3"/>
      <c r="J21" s="3"/>
      <c r="L21" s="3"/>
      <c r="M21" s="134" t="str">
        <f>Badge!$E$4</f>
        <v>Q2. Which rocket could carry the THIRD largest payload?</v>
      </c>
      <c r="N21" s="148"/>
      <c r="O21" s="148"/>
      <c r="P21" s="148"/>
      <c r="Q21" s="148"/>
      <c r="R21" s="148"/>
      <c r="S21" s="148"/>
      <c r="T21" s="148"/>
      <c r="U21" s="3"/>
    </row>
    <row r="22" spans="1:22" ht="18" customHeight="1" thickBot="1">
      <c r="A22" s="2"/>
      <c r="B22" s="2"/>
      <c r="C22" s="3"/>
      <c r="D22" s="3"/>
      <c r="E22" s="3"/>
      <c r="F22" s="30" t="s">
        <v>408</v>
      </c>
      <c r="G22" s="30" t="s">
        <v>820</v>
      </c>
      <c r="H22" s="30" t="s">
        <v>822</v>
      </c>
      <c r="I22" s="3"/>
      <c r="J22" s="3"/>
      <c r="L22" s="3"/>
      <c r="M22" s="134"/>
      <c r="N22" s="134"/>
      <c r="O22" s="134"/>
      <c r="P22" s="134"/>
      <c r="Q22" s="134"/>
      <c r="R22" s="134"/>
      <c r="S22" s="134"/>
      <c r="T22" s="134"/>
      <c r="U22" s="3"/>
    </row>
    <row r="23" spans="1:22" ht="13.5" customHeight="1">
      <c r="A23" s="2"/>
      <c r="B23" s="2"/>
      <c r="C23" s="3"/>
      <c r="D23" s="3"/>
      <c r="E23" s="3"/>
      <c r="F23" s="27" t="s">
        <v>565</v>
      </c>
      <c r="G23" s="28">
        <v>37601</v>
      </c>
      <c r="H23" s="29">
        <v>21000</v>
      </c>
      <c r="I23" s="3"/>
      <c r="J23" s="3"/>
      <c r="L23" s="3"/>
      <c r="M23" s="112"/>
      <c r="N23" s="113"/>
      <c r="O23" s="113"/>
      <c r="P23" s="113"/>
      <c r="Q23" s="113"/>
      <c r="R23" s="114"/>
      <c r="S23" s="118" t="str">
        <f ca="1">Badge!$I$4</f>
        <v/>
      </c>
      <c r="T23" s="118"/>
      <c r="U23" s="3"/>
    </row>
    <row r="24" spans="1:22" ht="13.5" customHeight="1" thickBot="1">
      <c r="A24" s="2"/>
      <c r="B24" s="2"/>
      <c r="C24" s="3"/>
      <c r="D24" s="3"/>
      <c r="E24" s="3"/>
      <c r="F24" s="27" t="s">
        <v>566</v>
      </c>
      <c r="G24" s="28">
        <v>35220</v>
      </c>
      <c r="H24" s="29">
        <v>16000</v>
      </c>
      <c r="I24" s="3"/>
      <c r="J24" s="3"/>
      <c r="L24" s="3"/>
      <c r="M24" s="115"/>
      <c r="N24" s="116"/>
      <c r="O24" s="116"/>
      <c r="P24" s="116"/>
      <c r="Q24" s="116"/>
      <c r="R24" s="117"/>
      <c r="S24" s="118"/>
      <c r="T24" s="118"/>
      <c r="U24" s="3"/>
    </row>
    <row r="25" spans="1:22" ht="13.5" customHeight="1">
      <c r="A25" s="2"/>
      <c r="B25" s="2"/>
      <c r="C25" s="3"/>
      <c r="D25" s="3"/>
      <c r="E25" s="3"/>
      <c r="F25" s="27" t="s">
        <v>567</v>
      </c>
      <c r="G25" s="28">
        <v>38736</v>
      </c>
      <c r="H25" s="29">
        <v>19000</v>
      </c>
      <c r="I25" s="3"/>
      <c r="J25" s="3"/>
      <c r="L25" s="3"/>
      <c r="M25" s="89"/>
      <c r="N25" s="89"/>
      <c r="O25" s="89"/>
      <c r="P25" s="89"/>
      <c r="Q25" s="89"/>
      <c r="R25" s="89"/>
      <c r="S25" s="89"/>
      <c r="T25" s="3"/>
      <c r="U25" s="3"/>
    </row>
    <row r="26" spans="1:22" ht="13.5" customHeight="1">
      <c r="A26" s="2"/>
      <c r="B26" s="2"/>
      <c r="C26" s="3"/>
      <c r="D26" s="3"/>
      <c r="E26" s="3"/>
      <c r="F26" s="27" t="s">
        <v>568</v>
      </c>
      <c r="G26" s="28">
        <v>40333</v>
      </c>
      <c r="H26" s="29">
        <v>10500</v>
      </c>
      <c r="I26" s="3"/>
      <c r="J26" s="3"/>
    </row>
    <row r="27" spans="1:22" ht="13.5" customHeight="1">
      <c r="A27" s="2"/>
      <c r="B27" s="2"/>
      <c r="C27" s="3"/>
      <c r="D27" s="3"/>
      <c r="E27" s="3"/>
      <c r="F27" s="27" t="s">
        <v>221</v>
      </c>
      <c r="G27" s="28">
        <v>42360</v>
      </c>
      <c r="H27" s="29">
        <v>15600</v>
      </c>
      <c r="I27" s="3"/>
      <c r="J27" s="3"/>
      <c r="L27" s="3"/>
      <c r="M27" s="129" t="str">
        <f ca="1">Badge!$J$11</f>
        <v>Keep going to get your Space Data Badge!</v>
      </c>
      <c r="N27" s="129"/>
      <c r="O27" s="129"/>
      <c r="P27" s="129"/>
      <c r="Q27" s="129"/>
      <c r="R27" s="129"/>
      <c r="S27" s="129"/>
      <c r="T27" s="129"/>
      <c r="U27" s="3"/>
    </row>
    <row r="28" spans="1:22" ht="13.5" customHeight="1">
      <c r="A28" s="2"/>
      <c r="B28" s="2"/>
      <c r="C28" s="3"/>
      <c r="D28" s="3"/>
      <c r="E28" s="3"/>
      <c r="F28" s="27" t="s">
        <v>569</v>
      </c>
      <c r="G28" s="28">
        <v>37132</v>
      </c>
      <c r="H28" s="29">
        <v>10000</v>
      </c>
      <c r="I28" s="3"/>
      <c r="J28" s="3"/>
      <c r="L28" s="3"/>
      <c r="M28" s="129"/>
      <c r="N28" s="129"/>
      <c r="O28" s="129"/>
      <c r="P28" s="129"/>
      <c r="Q28" s="129"/>
      <c r="R28" s="129"/>
      <c r="S28" s="129"/>
      <c r="T28" s="129"/>
      <c r="U28" s="3"/>
    </row>
    <row r="29" spans="1:22" ht="13.5" customHeight="1" thickBot="1">
      <c r="A29" s="2"/>
      <c r="B29" s="2"/>
      <c r="C29" s="3"/>
      <c r="D29" s="3"/>
      <c r="E29" s="3"/>
      <c r="F29" s="27" t="s">
        <v>223</v>
      </c>
      <c r="G29" s="28">
        <v>36483</v>
      </c>
      <c r="H29" s="29">
        <v>8600</v>
      </c>
      <c r="I29" s="3"/>
      <c r="J29" s="3"/>
      <c r="L29" s="3"/>
      <c r="M29" s="129"/>
      <c r="N29" s="129"/>
      <c r="O29" s="129"/>
      <c r="P29" s="129"/>
      <c r="Q29" s="129"/>
      <c r="R29" s="129"/>
      <c r="S29" s="129"/>
      <c r="T29" s="129"/>
      <c r="U29" s="3"/>
    </row>
    <row r="30" spans="1:22" ht="13.5" customHeight="1" thickBot="1">
      <c r="A30" s="2"/>
      <c r="B30" s="2"/>
      <c r="C30" s="3"/>
      <c r="D30" s="3"/>
      <c r="E30" s="3"/>
      <c r="F30" s="27" t="s">
        <v>570</v>
      </c>
      <c r="G30" s="28">
        <v>44681</v>
      </c>
      <c r="H30" s="29">
        <v>95000</v>
      </c>
      <c r="I30" s="3"/>
      <c r="J30" s="3"/>
      <c r="L30" s="3"/>
      <c r="M30" s="125" t="str">
        <f ca="1">Badge!$C$3</f>
        <v>Q1</v>
      </c>
      <c r="N30" s="127" t="str">
        <f ca="1">Badge!$C$4</f>
        <v>Q2</v>
      </c>
      <c r="O30" s="127" t="str">
        <f ca="1">Badge!$C$5</f>
        <v>Q3</v>
      </c>
      <c r="P30" s="127" t="str">
        <f ca="1">Badge!$C$6</f>
        <v>Q4</v>
      </c>
      <c r="Q30" s="127" t="str">
        <f ca="1">Badge!$C$7</f>
        <v>Q5</v>
      </c>
      <c r="R30" s="122" t="str">
        <f ca="1">Badge!$C$8</f>
        <v>Q6</v>
      </c>
      <c r="S30" s="31"/>
      <c r="T30" s="124" t="str">
        <f>Translations!$K$11</f>
        <v>Next</v>
      </c>
      <c r="U30" s="3"/>
    </row>
    <row r="31" spans="1:22" ht="13.5" customHeight="1" thickBot="1">
      <c r="A31" s="2"/>
      <c r="B31" s="2"/>
      <c r="C31" s="3"/>
      <c r="D31" s="3"/>
      <c r="E31" s="3"/>
      <c r="F31" s="27" t="s">
        <v>571</v>
      </c>
      <c r="G31" s="28">
        <v>39009</v>
      </c>
      <c r="H31" s="29">
        <v>7020</v>
      </c>
      <c r="I31" s="3"/>
      <c r="J31" s="3"/>
      <c r="L31" s="3"/>
      <c r="M31" s="126"/>
      <c r="N31" s="128"/>
      <c r="O31" s="128"/>
      <c r="P31" s="128"/>
      <c r="Q31" s="128"/>
      <c r="R31" s="123"/>
      <c r="S31" s="3"/>
      <c r="T31" s="124"/>
      <c r="U31" s="3"/>
    </row>
    <row r="32" spans="1:22" ht="13.5" customHeight="1">
      <c r="A32" s="2"/>
      <c r="B32" s="2"/>
      <c r="C32" s="3"/>
      <c r="D32" s="3"/>
      <c r="E32" s="3"/>
      <c r="F32" s="3"/>
      <c r="G32" s="3"/>
      <c r="H32" s="3"/>
      <c r="I32" s="3"/>
      <c r="J32" s="3"/>
      <c r="L32" s="3"/>
      <c r="M32" s="3"/>
      <c r="N32" s="3"/>
      <c r="O32" s="3"/>
      <c r="P32" s="3"/>
      <c r="Q32" s="3"/>
      <c r="R32" s="3"/>
      <c r="S32" s="3"/>
      <c r="T32" s="3"/>
      <c r="U32" s="3"/>
    </row>
    <row r="33" s="2" customFormat="1" ht="15" customHeight="1"/>
    <row r="34" s="2" customFormat="1" hidden="1"/>
  </sheetData>
  <mergeCells count="18">
    <mergeCell ref="M23:R24"/>
    <mergeCell ref="M21:T22"/>
    <mergeCell ref="S23:T24"/>
    <mergeCell ref="Q30:Q31"/>
    <mergeCell ref="M27:T29"/>
    <mergeCell ref="T30:T31"/>
    <mergeCell ref="M30:M31"/>
    <mergeCell ref="N30:N31"/>
    <mergeCell ref="O30:O31"/>
    <mergeCell ref="P30:P31"/>
    <mergeCell ref="R30:R31"/>
    <mergeCell ref="M13:T15"/>
    <mergeCell ref="M16:T20"/>
    <mergeCell ref="C2:F3"/>
    <mergeCell ref="C4:G6"/>
    <mergeCell ref="H4:I5"/>
    <mergeCell ref="M4:T5"/>
    <mergeCell ref="M6:T12"/>
  </mergeCells>
  <hyperlinks>
    <hyperlink ref="T30:T31" location="'3.Visualizing with COLOR'!A1" display="Next " xr:uid="{D82A3436-A464-4280-AB0E-29AA6DA6CE73}"/>
  </hyperlinks>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 id="{7D1291E1-D4FB-4798-ADE9-10A0A47BB77B}">
            <xm:f>$S$23=Badge!$H$4</xm:f>
            <x14:dxf>
              <font>
                <color theme="4" tint="-0.499984740745262"/>
              </font>
              <fill>
                <patternFill>
                  <bgColor theme="4" tint="0.79998168889431442"/>
                </patternFill>
              </fill>
            </x14:dxf>
          </x14:cfRule>
          <x14:cfRule type="expression" priority="7" id="{7DF58B21-934C-4F03-BB9D-34BBB1227EEF}">
            <xm:f>$S$23=Badge!$G$4</xm:f>
            <x14:dxf>
              <font>
                <color theme="8" tint="-0.499984740745262"/>
              </font>
              <fill>
                <patternFill>
                  <bgColor theme="8" tint="0.79998168889431442"/>
                </patternFill>
              </fill>
            </x14:dxf>
          </x14:cfRule>
          <xm:sqref>S23:S24</xm:sqref>
        </x14:conditionalFormatting>
        <x14:conditionalFormatting xmlns:xm="http://schemas.microsoft.com/office/excel/2006/main">
          <x14:cfRule type="expression" priority="2" id="{95C0E2F6-5745-4952-A9D8-47B59B302B0E}">
            <xm:f>_xlfn.XLOOKUP(M30,Badge!$C$3:$C$8,Badge!$J$3:$J$8)=0</xm:f>
            <x14:dxf>
              <font>
                <color theme="3"/>
              </font>
              <fill>
                <patternFill>
                  <bgColor rgb="FFE0E0E0"/>
                </patternFill>
              </fill>
            </x14:dxf>
          </x14:cfRule>
          <x14:cfRule type="expression" priority="3" id="{78BAE047-BC78-4AB1-85FE-0AA2AD7CA404}">
            <xm:f>_xlfn.XLOOKUP(M30,Badge!$C$3:$C$8,Badge!$J$3:$J$8)=1</xm:f>
            <x14:dxf>
              <font>
                <color theme="0"/>
              </font>
              <fill>
                <patternFill>
                  <bgColor theme="5"/>
                </patternFill>
              </fill>
            </x14:dxf>
          </x14:cfRule>
          <xm:sqref>M30:R31</xm:sqref>
        </x14:conditionalFormatting>
        <x14:conditionalFormatting xmlns:xm="http://schemas.microsoft.com/office/excel/2006/main">
          <x14:cfRule type="expression" priority="1" id="{6EBC91C3-6396-4592-9FC7-0B7228D21E27}">
            <xm:f>Badge!$J$4=0</xm:f>
            <x14:dxf>
              <font>
                <color theme="3"/>
              </font>
              <fill>
                <patternFill>
                  <bgColor rgb="FFE0E0E0"/>
                </patternFill>
              </fill>
            </x14:dxf>
          </x14:cfRule>
          <xm:sqref>T30:T31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786CA9E-AEF4-4F8F-AAA9-D3FDCB490423}">
          <x14:formula1>
            <xm:f>'Tab1 Backend'!$N$9:$N$11</xm:f>
          </x14:formula1>
          <xm:sqref>H4</xm:sqref>
        </x14:dataValidation>
        <x14:dataValidation type="list" allowBlank="1" showInputMessage="1" showErrorMessage="1" xr:uid="{CABE46C1-6C4F-4252-AAB3-45E98C9C76E6}">
          <x14:formula1>
            <xm:f>'Tab1 Backend'!$B$9:$B$17</xm:f>
          </x14:formula1>
          <xm:sqref>M23:R23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EF3C-A34B-4644-8CCD-749ABE8EA557}">
  <sheetPr codeName="Sheet9">
    <tabColor theme="7"/>
  </sheetPr>
  <dimension ref="A1:W34"/>
  <sheetViews>
    <sheetView zoomScale="115" zoomScaleNormal="115" workbookViewId="0">
      <selection activeCell="F31" sqref="F31"/>
    </sheetView>
  </sheetViews>
  <sheetFormatPr defaultColWidth="0" defaultRowHeight="16.5" customHeight="1" zeroHeight="1"/>
  <cols>
    <col min="1" max="1" width="0.25" style="24" customWidth="1"/>
    <col min="2" max="2" width="2.25" style="24" customWidth="1"/>
    <col min="3" max="3" width="2.5" style="2" customWidth="1"/>
    <col min="4" max="4" width="12.5" style="2" customWidth="1"/>
    <col min="5" max="6" width="20" style="2" customWidth="1"/>
    <col min="7" max="8" width="24.625" style="2" customWidth="1"/>
    <col min="9" max="9" width="26.125" style="2" customWidth="1"/>
    <col min="10" max="10" width="2.5" style="2" customWidth="1"/>
    <col min="11" max="11" width="2.25" style="2" customWidth="1"/>
    <col min="12" max="12" width="2.5" style="2" customWidth="1"/>
    <col min="13" max="18" width="4.5" style="2" customWidth="1"/>
    <col min="19" max="19" width="10" style="2" customWidth="1"/>
    <col min="20" max="20" width="12.5" style="2" customWidth="1"/>
    <col min="21" max="22" width="2.5" style="2" customWidth="1"/>
    <col min="23" max="23" width="2.5" style="2" hidden="1" customWidth="1"/>
    <col min="24" max="16384" width="9.375" style="2" hidden="1"/>
  </cols>
  <sheetData>
    <row r="1" spans="1:23" s="24" customFormat="1" ht="6" customHeight="1">
      <c r="A1" s="23" t="str">
        <f>C2</f>
        <v>Visualizing with COLOR -  stacked column charts</v>
      </c>
      <c r="B1" s="23"/>
      <c r="C1" s="2"/>
      <c r="D1" s="26"/>
      <c r="E1" s="2"/>
      <c r="F1" s="2"/>
      <c r="G1" s="2"/>
      <c r="H1" s="2"/>
      <c r="I1" s="2"/>
      <c r="J1" s="2"/>
      <c r="K1" s="2"/>
      <c r="L1" s="2"/>
      <c r="M1" s="2"/>
      <c r="N1" s="2"/>
      <c r="O1" s="2"/>
      <c r="P1" s="2"/>
      <c r="Q1" s="2"/>
      <c r="R1" s="2"/>
      <c r="S1" s="2"/>
      <c r="T1" s="2"/>
      <c r="U1" s="2"/>
      <c r="V1" s="2"/>
      <c r="W1" s="2"/>
    </row>
    <row r="2" spans="1:23" ht="13.5" customHeight="1" thickBot="1">
      <c r="A2" s="23" t="str">
        <f>C4</f>
        <v>Now that you've learned about rocket payloads, research rocket mass proportions using a stacked column chart.</v>
      </c>
      <c r="B2" s="2"/>
      <c r="C2" s="130" t="str">
        <f>Translations!$K$430</f>
        <v>Visualizing with COLOR -  stacked column charts</v>
      </c>
      <c r="D2" s="130"/>
      <c r="E2" s="130"/>
      <c r="F2" s="130"/>
      <c r="G2" s="130"/>
    </row>
    <row r="3" spans="1:23" ht="13.5" customHeight="1" thickBot="1">
      <c r="A3" s="23" t="str">
        <f>Translations!K426</f>
        <v>Stacked column chart: A stacked column chart allows proportional comparisons between items by adding color. Each colored section in a column represents a percentage of the total being measured.</v>
      </c>
      <c r="B3" s="2"/>
      <c r="C3" s="130"/>
      <c r="D3" s="130"/>
      <c r="E3" s="130"/>
      <c r="F3" s="130"/>
      <c r="G3" s="130"/>
      <c r="I3" s="47" t="str">
        <f>Translations!$K$155</f>
        <v>Choose ↓</v>
      </c>
      <c r="L3" s="3"/>
      <c r="M3" s="43"/>
      <c r="N3" s="43"/>
      <c r="O3" s="43"/>
      <c r="P3" s="43"/>
      <c r="Q3" s="43"/>
      <c r="R3" s="43"/>
      <c r="S3" s="43"/>
      <c r="T3" s="43"/>
      <c r="U3" s="3"/>
    </row>
    <row r="4" spans="1:23" ht="13.5" customHeight="1">
      <c r="A4" s="23" t="str">
        <f>Translations!K427</f>
        <v>Rocket mass proportions: The total mass of a rocket can be divided into three categories - fuel, structure, and payload. The largest proportion of a rocket's mass is fuel, followed by its structure and then its payload.</v>
      </c>
      <c r="B4" s="2"/>
      <c r="C4" s="145" t="str">
        <f>Translations!$K$425</f>
        <v>Now that you've learned about rocket payloads, research rocket mass proportions using a stacked column chart.</v>
      </c>
      <c r="D4" s="145"/>
      <c r="E4" s="145"/>
      <c r="F4" s="145"/>
      <c r="G4" s="145"/>
      <c r="H4" s="137" t="s">
        <v>611</v>
      </c>
      <c r="I4" s="138"/>
      <c r="L4" s="3"/>
      <c r="M4" s="119" t="str">
        <f>DD_P3_Step</f>
        <v>What is a stacked column chart?</v>
      </c>
      <c r="N4" s="119"/>
      <c r="O4" s="119"/>
      <c r="P4" s="119"/>
      <c r="Q4" s="119"/>
      <c r="R4" s="119"/>
      <c r="S4" s="119"/>
      <c r="T4" s="119"/>
      <c r="U4" s="3"/>
    </row>
    <row r="5" spans="1:23" ht="13.5" customHeight="1" thickBot="1">
      <c r="A5" s="23" t="str">
        <f>Translations!K428</f>
        <v>Payload-structure comparison: When we remove fuel mass from the chart (the largest proportion), the proportion between the remaining two (rocket structure and payload mass) becomes easier to notice. Sort the launch year in ascending order (smallest to largest) in the table in cells E22 to I31. By calculating the proportion, we notice that the ratio of the payload mass to structure mass has been increasing over time.</v>
      </c>
      <c r="B5" s="2"/>
      <c r="C5" s="145"/>
      <c r="D5" s="145"/>
      <c r="E5" s="145"/>
      <c r="F5" s="145"/>
      <c r="G5" s="145"/>
      <c r="H5" s="139"/>
      <c r="I5" s="140"/>
      <c r="L5" s="3"/>
      <c r="M5" s="119"/>
      <c r="N5" s="119"/>
      <c r="O5" s="119"/>
      <c r="P5" s="119"/>
      <c r="Q5" s="119"/>
      <c r="R5" s="119"/>
      <c r="S5" s="119"/>
      <c r="T5" s="119"/>
      <c r="U5" s="3"/>
    </row>
    <row r="6" spans="1:23" ht="13.5" customHeight="1">
      <c r="A6" s="23" t="str">
        <f>Translations!K429</f>
        <v>Discussion: Why is it important for engineers to pay attention to mass ratios when designing a rocket? Check your knowledge: Use the table in cells E22 to I31 to answer the question in cell M21.</v>
      </c>
      <c r="B6" s="2"/>
      <c r="C6" s="145"/>
      <c r="D6" s="145"/>
      <c r="E6" s="145"/>
      <c r="F6" s="145"/>
      <c r="G6" s="145"/>
      <c r="L6" s="3"/>
      <c r="M6" s="42"/>
      <c r="N6" s="42"/>
      <c r="O6" s="42"/>
      <c r="P6" s="42"/>
      <c r="Q6" s="42"/>
      <c r="R6" s="42"/>
      <c r="S6" s="42"/>
      <c r="T6" s="42"/>
      <c r="U6" s="3"/>
    </row>
    <row r="7" spans="1:23" ht="18" customHeight="1">
      <c r="A7" s="23" t="str">
        <f>Translations!$K$10</f>
        <v>Press Ctrl key plus page down key to go to the next page.</v>
      </c>
      <c r="B7" s="2"/>
      <c r="C7" s="3"/>
      <c r="D7" s="3"/>
      <c r="E7" s="3"/>
      <c r="F7" s="149" t="str">
        <f>'Tab1 Backend'!$T$6</f>
        <v>Stacked column chart</v>
      </c>
      <c r="G7" s="149"/>
      <c r="H7" s="149"/>
      <c r="I7" s="3"/>
      <c r="J7" s="3"/>
      <c r="L7" s="3"/>
      <c r="M7" s="135" t="str" cm="1">
        <f t="array" ref="M7">INDEX('Tab1 Backend'!$U$9:$U$11,DD_P3_StepNum)</f>
        <v>A stacked column chart allows proportional comparisons between items by adding COLOR. Each colored section in a column represents a percentage of the total being measured.</v>
      </c>
      <c r="N7" s="135"/>
      <c r="O7" s="135"/>
      <c r="P7" s="135"/>
      <c r="Q7" s="135"/>
      <c r="R7" s="135"/>
      <c r="S7" s="135"/>
      <c r="T7" s="135"/>
      <c r="U7" s="3"/>
    </row>
    <row r="8" spans="1:23" ht="13.5" customHeight="1">
      <c r="A8" s="2"/>
      <c r="B8" s="2"/>
      <c r="C8" s="3"/>
      <c r="D8" s="3"/>
      <c r="E8" s="3"/>
      <c r="F8" s="3"/>
      <c r="G8" s="3"/>
      <c r="H8" s="3"/>
      <c r="I8" s="3"/>
      <c r="J8" s="3"/>
      <c r="L8" s="3"/>
      <c r="M8" s="135"/>
      <c r="N8" s="135"/>
      <c r="O8" s="135"/>
      <c r="P8" s="135"/>
      <c r="Q8" s="135"/>
      <c r="R8" s="135"/>
      <c r="S8" s="135"/>
      <c r="T8" s="135"/>
      <c r="U8" s="3"/>
    </row>
    <row r="9" spans="1:23" ht="13.5" customHeight="1">
      <c r="A9" s="2"/>
      <c r="B9" s="2"/>
      <c r="C9" s="3"/>
      <c r="D9" s="3"/>
      <c r="E9" s="3"/>
      <c r="F9" s="3"/>
      <c r="G9" s="3"/>
      <c r="H9" s="3"/>
      <c r="I9" s="3"/>
      <c r="J9" s="3"/>
      <c r="L9" s="3"/>
      <c r="M9" s="135"/>
      <c r="N9" s="135"/>
      <c r="O9" s="135"/>
      <c r="P9" s="135"/>
      <c r="Q9" s="135"/>
      <c r="R9" s="135"/>
      <c r="S9" s="135"/>
      <c r="T9" s="135"/>
      <c r="U9" s="3"/>
    </row>
    <row r="10" spans="1:23" ht="13.5" customHeight="1">
      <c r="A10" s="2"/>
      <c r="B10" s="2"/>
      <c r="C10" s="3"/>
      <c r="D10" s="3"/>
      <c r="E10" s="3"/>
      <c r="F10" s="3"/>
      <c r="G10" s="3"/>
      <c r="H10" s="3"/>
      <c r="I10" s="3"/>
      <c r="J10" s="3"/>
      <c r="L10" s="3"/>
      <c r="M10" s="135"/>
      <c r="N10" s="135"/>
      <c r="O10" s="135"/>
      <c r="P10" s="135"/>
      <c r="Q10" s="135"/>
      <c r="R10" s="135"/>
      <c r="S10" s="135"/>
      <c r="T10" s="135"/>
      <c r="U10" s="89"/>
    </row>
    <row r="11" spans="1:23" ht="13.5" customHeight="1">
      <c r="A11" s="2"/>
      <c r="B11" s="2"/>
      <c r="C11" s="3"/>
      <c r="D11" s="3"/>
      <c r="E11" s="3"/>
      <c r="F11" s="3"/>
      <c r="G11" s="3"/>
      <c r="H11" s="3"/>
      <c r="I11" s="3"/>
      <c r="J11" s="3"/>
      <c r="L11" s="3"/>
      <c r="M11" s="135"/>
      <c r="N11" s="135"/>
      <c r="O11" s="135"/>
      <c r="P11" s="135"/>
      <c r="Q11" s="135"/>
      <c r="R11" s="135"/>
      <c r="S11" s="135"/>
      <c r="T11" s="135"/>
      <c r="U11" s="89"/>
    </row>
    <row r="12" spans="1:23" ht="13.5" customHeight="1" thickBot="1">
      <c r="A12" s="2"/>
      <c r="B12" s="2"/>
      <c r="C12" s="3"/>
      <c r="D12" s="3"/>
      <c r="E12" s="3"/>
      <c r="F12" s="3"/>
      <c r="G12" s="3"/>
      <c r="H12" s="3"/>
      <c r="I12" s="3"/>
      <c r="J12" s="3"/>
      <c r="L12" s="56"/>
      <c r="M12" s="136"/>
      <c r="N12" s="136"/>
      <c r="O12" s="136"/>
      <c r="P12" s="136"/>
      <c r="Q12" s="136"/>
      <c r="R12" s="136"/>
      <c r="S12" s="136"/>
      <c r="T12" s="136"/>
      <c r="U12" s="55"/>
      <c r="V12" s="66"/>
    </row>
    <row r="13" spans="1:23" ht="13.5" customHeight="1" thickTop="1">
      <c r="A13" s="2"/>
      <c r="B13" s="2"/>
      <c r="C13" s="3"/>
      <c r="D13" s="3"/>
      <c r="E13" s="3"/>
      <c r="F13" s="3"/>
      <c r="G13" s="3"/>
      <c r="H13" s="3"/>
      <c r="I13" s="3"/>
      <c r="J13" s="3"/>
      <c r="L13" s="3"/>
      <c r="M13" s="141" t="str">
        <f>Translations!$K$411</f>
        <v>Done with the lesson on this page? Answer these questions!</v>
      </c>
      <c r="N13" s="141"/>
      <c r="O13" s="141"/>
      <c r="P13" s="141"/>
      <c r="Q13" s="141"/>
      <c r="R13" s="141"/>
      <c r="S13" s="141"/>
      <c r="T13" s="141"/>
      <c r="U13" s="89"/>
    </row>
    <row r="14" spans="1:23" ht="13.5" customHeight="1">
      <c r="A14" s="2"/>
      <c r="B14" s="2"/>
      <c r="C14" s="3"/>
      <c r="D14" s="3"/>
      <c r="E14" s="3"/>
      <c r="F14" s="3"/>
      <c r="G14" s="3"/>
      <c r="H14" s="3"/>
      <c r="I14" s="3"/>
      <c r="J14" s="3"/>
      <c r="L14" s="3"/>
      <c r="M14" s="141"/>
      <c r="N14" s="141"/>
      <c r="O14" s="141"/>
      <c r="P14" s="141"/>
      <c r="Q14" s="141"/>
      <c r="R14" s="141"/>
      <c r="S14" s="141"/>
      <c r="T14" s="141"/>
      <c r="U14" s="89"/>
    </row>
    <row r="15" spans="1:23" ht="13.5" customHeight="1" thickBot="1">
      <c r="A15" s="2"/>
      <c r="B15" s="2"/>
      <c r="C15" s="3"/>
      <c r="D15" s="3"/>
      <c r="E15" s="3"/>
      <c r="F15" s="3"/>
      <c r="G15" s="3"/>
      <c r="H15" s="3"/>
      <c r="I15" s="3"/>
      <c r="J15" s="3"/>
      <c r="L15" s="56"/>
      <c r="M15" s="142"/>
      <c r="N15" s="142"/>
      <c r="O15" s="142"/>
      <c r="P15" s="142"/>
      <c r="Q15" s="142"/>
      <c r="R15" s="142"/>
      <c r="S15" s="142"/>
      <c r="T15" s="142"/>
      <c r="U15" s="55"/>
    </row>
    <row r="16" spans="1:23" ht="13.5" customHeight="1" thickTop="1">
      <c r="A16" s="2"/>
      <c r="B16" s="2"/>
      <c r="C16" s="3"/>
      <c r="D16" s="3"/>
      <c r="E16" s="3"/>
      <c r="F16" s="3"/>
      <c r="G16" s="3"/>
      <c r="H16" s="3"/>
      <c r="I16" s="3"/>
      <c r="J16" s="3"/>
      <c r="L16" s="3"/>
      <c r="M16" s="120" t="str">
        <f>Translations!$K$412&amp;"-
"&amp;Translations!$K$431</f>
        <v>Discussion --
Why is it important for engineers to pay attention to mass ratios when designing a rocket?</v>
      </c>
      <c r="N16" s="120"/>
      <c r="O16" s="120"/>
      <c r="P16" s="120"/>
      <c r="Q16" s="120"/>
      <c r="R16" s="120"/>
      <c r="S16" s="120"/>
      <c r="T16" s="120"/>
      <c r="U16" s="89"/>
    </row>
    <row r="17" spans="1:21" ht="13.5" customHeight="1">
      <c r="A17" s="2"/>
      <c r="B17" s="2"/>
      <c r="C17" s="3"/>
      <c r="D17" s="3"/>
      <c r="E17" s="3"/>
      <c r="F17" s="3"/>
      <c r="G17" s="3"/>
      <c r="H17" s="3"/>
      <c r="I17" s="3"/>
      <c r="J17" s="3"/>
      <c r="L17" s="3"/>
      <c r="M17" s="120"/>
      <c r="N17" s="120"/>
      <c r="O17" s="120"/>
      <c r="P17" s="120"/>
      <c r="Q17" s="120"/>
      <c r="R17" s="120"/>
      <c r="S17" s="120"/>
      <c r="T17" s="120"/>
      <c r="U17" s="3"/>
    </row>
    <row r="18" spans="1:21" ht="13.5" customHeight="1">
      <c r="A18" s="2"/>
      <c r="B18" s="2"/>
      <c r="C18" s="3"/>
      <c r="D18" s="3"/>
      <c r="E18" s="3"/>
      <c r="F18" s="3"/>
      <c r="G18" s="3"/>
      <c r="H18" s="3"/>
      <c r="I18" s="3"/>
      <c r="J18" s="3"/>
      <c r="L18" s="3"/>
      <c r="M18" s="120"/>
      <c r="N18" s="120"/>
      <c r="O18" s="120"/>
      <c r="P18" s="120"/>
      <c r="Q18" s="120"/>
      <c r="R18" s="120"/>
      <c r="S18" s="120"/>
      <c r="T18" s="120"/>
      <c r="U18" s="3"/>
    </row>
    <row r="19" spans="1:21" ht="13.5" customHeight="1">
      <c r="A19" s="2"/>
      <c r="B19" s="2"/>
      <c r="C19" s="3"/>
      <c r="D19" s="3"/>
      <c r="E19" s="3"/>
      <c r="F19" s="3"/>
      <c r="G19" s="3"/>
      <c r="H19" s="3"/>
      <c r="I19" s="3"/>
      <c r="J19" s="3"/>
      <c r="L19" s="3"/>
      <c r="M19" s="120"/>
      <c r="N19" s="120"/>
      <c r="O19" s="120"/>
      <c r="P19" s="120"/>
      <c r="Q19" s="120"/>
      <c r="R19" s="120"/>
      <c r="S19" s="120"/>
      <c r="T19" s="120"/>
      <c r="U19" s="3"/>
    </row>
    <row r="20" spans="1:21" ht="13.5" customHeight="1" thickBot="1">
      <c r="A20" s="2"/>
      <c r="B20" s="2"/>
      <c r="C20" s="3"/>
      <c r="D20" s="3"/>
      <c r="E20" s="3"/>
      <c r="F20" s="3"/>
      <c r="G20" s="3"/>
      <c r="H20" s="3"/>
      <c r="I20" s="3"/>
      <c r="J20" s="3"/>
      <c r="L20" s="56"/>
      <c r="M20" s="121"/>
      <c r="N20" s="121"/>
      <c r="O20" s="121"/>
      <c r="P20" s="121"/>
      <c r="Q20" s="121"/>
      <c r="R20" s="121"/>
      <c r="S20" s="121"/>
      <c r="T20" s="121"/>
      <c r="U20" s="56"/>
    </row>
    <row r="21" spans="1:21" ht="13.5" customHeight="1" thickTop="1">
      <c r="A21" s="2"/>
      <c r="B21" s="2"/>
      <c r="C21" s="3"/>
      <c r="D21" s="3"/>
      <c r="E21" s="3"/>
      <c r="F21" s="3"/>
      <c r="G21" s="3"/>
      <c r="H21" s="3"/>
      <c r="I21" s="3"/>
      <c r="J21" s="3"/>
      <c r="L21" s="3"/>
      <c r="M21" s="134" t="str">
        <f>Badge!$E$5</f>
        <v>Q3. Which rocket has the best payload to structure ratio for sending cargo into space?</v>
      </c>
      <c r="N21" s="134"/>
      <c r="O21" s="134"/>
      <c r="P21" s="134"/>
      <c r="Q21" s="134"/>
      <c r="R21" s="134"/>
      <c r="S21" s="134"/>
      <c r="T21" s="134"/>
      <c r="U21" s="3"/>
    </row>
    <row r="22" spans="1:21" ht="18" customHeight="1" thickBot="1">
      <c r="A22" s="2"/>
      <c r="B22" s="2"/>
      <c r="C22" s="3"/>
      <c r="D22" s="3"/>
      <c r="E22" s="30" t="s">
        <v>408</v>
      </c>
      <c r="F22" s="30" t="s">
        <v>410</v>
      </c>
      <c r="G22" s="30" t="s">
        <v>822</v>
      </c>
      <c r="H22" s="30" t="s">
        <v>844</v>
      </c>
      <c r="I22" s="30" t="s">
        <v>846</v>
      </c>
      <c r="J22" s="3"/>
      <c r="L22" s="3"/>
      <c r="M22" s="134"/>
      <c r="N22" s="134"/>
      <c r="O22" s="134"/>
      <c r="P22" s="134"/>
      <c r="Q22" s="134"/>
      <c r="R22" s="134"/>
      <c r="S22" s="134"/>
      <c r="T22" s="134"/>
      <c r="U22" s="3"/>
    </row>
    <row r="23" spans="1:21" ht="13.5" customHeight="1">
      <c r="A23" s="2"/>
      <c r="B23" s="2"/>
      <c r="C23" s="3"/>
      <c r="D23" s="3"/>
      <c r="E23" s="27" t="s">
        <v>565</v>
      </c>
      <c r="F23" s="27">
        <v>2002</v>
      </c>
      <c r="G23" s="29">
        <v>21000</v>
      </c>
      <c r="H23" s="29">
        <v>91200</v>
      </c>
      <c r="I23" s="29">
        <v>668000</v>
      </c>
      <c r="J23" s="3"/>
      <c r="L23" s="3"/>
      <c r="M23" s="112"/>
      <c r="N23" s="113"/>
      <c r="O23" s="113"/>
      <c r="P23" s="113"/>
      <c r="Q23" s="113"/>
      <c r="R23" s="114"/>
      <c r="S23" s="118" t="str">
        <f ca="1">Badge!$I$5</f>
        <v/>
      </c>
      <c r="T23" s="118"/>
      <c r="U23" s="3"/>
    </row>
    <row r="24" spans="1:21" ht="13.5" customHeight="1">
      <c r="A24" s="2"/>
      <c r="B24" s="2"/>
      <c r="C24" s="3"/>
      <c r="D24" s="3"/>
      <c r="E24" s="27" t="s">
        <v>566</v>
      </c>
      <c r="F24" s="27">
        <v>1996</v>
      </c>
      <c r="G24" s="29">
        <v>16000</v>
      </c>
      <c r="H24" s="29">
        <v>95000</v>
      </c>
      <c r="I24" s="29">
        <v>640000</v>
      </c>
      <c r="J24" s="3"/>
      <c r="L24" s="3"/>
      <c r="M24" s="115"/>
      <c r="N24" s="116"/>
      <c r="O24" s="116"/>
      <c r="P24" s="116"/>
      <c r="Q24" s="116"/>
      <c r="R24" s="117"/>
      <c r="S24" s="118"/>
      <c r="T24" s="118"/>
      <c r="U24" s="3"/>
    </row>
    <row r="25" spans="1:21" ht="13.5" customHeight="1">
      <c r="A25" s="2"/>
      <c r="B25" s="2"/>
      <c r="C25" s="3"/>
      <c r="D25" s="3"/>
      <c r="E25" s="27" t="s">
        <v>567</v>
      </c>
      <c r="F25" s="27">
        <v>2006</v>
      </c>
      <c r="G25" s="29">
        <v>19000</v>
      </c>
      <c r="H25" s="29">
        <v>44000</v>
      </c>
      <c r="I25" s="29">
        <v>520000</v>
      </c>
      <c r="J25" s="3"/>
      <c r="L25" s="3"/>
      <c r="M25" s="89"/>
      <c r="N25" s="89"/>
      <c r="O25" s="89"/>
      <c r="P25" s="89"/>
      <c r="Q25" s="89"/>
      <c r="R25" s="89"/>
      <c r="S25" s="89"/>
      <c r="T25" s="3"/>
      <c r="U25" s="3"/>
    </row>
    <row r="26" spans="1:21" ht="13.5" customHeight="1">
      <c r="A26" s="2"/>
      <c r="B26" s="2"/>
      <c r="C26" s="3"/>
      <c r="D26" s="3"/>
      <c r="E26" s="27" t="s">
        <v>568</v>
      </c>
      <c r="F26" s="27">
        <v>2010</v>
      </c>
      <c r="G26" s="29">
        <v>10500</v>
      </c>
      <c r="H26" s="29">
        <v>25000</v>
      </c>
      <c r="I26" s="29">
        <v>390000</v>
      </c>
      <c r="J26" s="3"/>
    </row>
    <row r="27" spans="1:21" ht="13.5" customHeight="1">
      <c r="A27" s="2"/>
      <c r="B27" s="2"/>
      <c r="C27" s="3"/>
      <c r="D27" s="3"/>
      <c r="E27" s="27" t="s">
        <v>221</v>
      </c>
      <c r="F27" s="27">
        <v>2018</v>
      </c>
      <c r="G27" s="29">
        <v>15600</v>
      </c>
      <c r="H27" s="29">
        <v>30650</v>
      </c>
      <c r="I27" s="29">
        <v>518400</v>
      </c>
      <c r="J27" s="3"/>
      <c r="L27" s="3"/>
      <c r="M27" s="129" t="str">
        <f ca="1">Badge!$J$11</f>
        <v>Keep going to get your Space Data Badge!</v>
      </c>
      <c r="N27" s="129"/>
      <c r="O27" s="129"/>
      <c r="P27" s="129"/>
      <c r="Q27" s="129"/>
      <c r="R27" s="129"/>
      <c r="S27" s="129"/>
      <c r="T27" s="129"/>
      <c r="U27" s="3"/>
    </row>
    <row r="28" spans="1:21" ht="13.5" customHeight="1">
      <c r="A28" s="2"/>
      <c r="B28" s="2"/>
      <c r="C28" s="3"/>
      <c r="D28" s="3"/>
      <c r="E28" s="27" t="s">
        <v>569</v>
      </c>
      <c r="F28" s="27">
        <v>2001</v>
      </c>
      <c r="G28" s="29">
        <v>10000</v>
      </c>
      <c r="H28" s="29">
        <v>37000</v>
      </c>
      <c r="I28" s="29">
        <v>285000</v>
      </c>
      <c r="J28" s="3"/>
      <c r="L28" s="3"/>
      <c r="M28" s="129"/>
      <c r="N28" s="129"/>
      <c r="O28" s="129"/>
      <c r="P28" s="129"/>
      <c r="Q28" s="129"/>
      <c r="R28" s="129"/>
      <c r="S28" s="129"/>
      <c r="T28" s="129"/>
      <c r="U28" s="3"/>
    </row>
    <row r="29" spans="1:21" ht="13.5" customHeight="1">
      <c r="A29" s="2"/>
      <c r="B29" s="2"/>
      <c r="C29" s="3"/>
      <c r="D29" s="3"/>
      <c r="E29" s="27" t="s">
        <v>223</v>
      </c>
      <c r="F29" s="27">
        <v>1999</v>
      </c>
      <c r="G29" s="29">
        <v>8600</v>
      </c>
      <c r="H29" s="29">
        <v>40000</v>
      </c>
      <c r="I29" s="29">
        <v>424000</v>
      </c>
      <c r="J29" s="3"/>
      <c r="L29" s="3"/>
      <c r="M29" s="129"/>
      <c r="N29" s="129"/>
      <c r="O29" s="129"/>
      <c r="P29" s="129"/>
      <c r="Q29" s="129"/>
      <c r="R29" s="129"/>
      <c r="S29" s="129"/>
      <c r="T29" s="129"/>
      <c r="U29" s="3"/>
    </row>
    <row r="30" spans="1:21" ht="13.5" customHeight="1">
      <c r="A30" s="2"/>
      <c r="B30" s="2"/>
      <c r="C30" s="3"/>
      <c r="D30" s="3"/>
      <c r="E30" s="27" t="s">
        <v>570</v>
      </c>
      <c r="F30" s="27">
        <v>2022</v>
      </c>
      <c r="G30" s="29">
        <v>95000</v>
      </c>
      <c r="H30" s="29">
        <v>169000</v>
      </c>
      <c r="I30" s="29">
        <v>2293000</v>
      </c>
      <c r="J30" s="3"/>
      <c r="L30" s="3"/>
      <c r="M30" s="125" t="str">
        <f ca="1">Badge!$C$3</f>
        <v>Q1</v>
      </c>
      <c r="N30" s="127" t="str">
        <f ca="1">Badge!$C$4</f>
        <v>Q2</v>
      </c>
      <c r="O30" s="127" t="str">
        <f ca="1">Badge!$C$5</f>
        <v>Q3</v>
      </c>
      <c r="P30" s="127" t="str">
        <f ca="1">Badge!$C$6</f>
        <v>Q4</v>
      </c>
      <c r="Q30" s="127" t="str">
        <f ca="1">Badge!$C$7</f>
        <v>Q5</v>
      </c>
      <c r="R30" s="122" t="str">
        <f ca="1">Badge!$C$8</f>
        <v>Q6</v>
      </c>
      <c r="S30" s="31"/>
      <c r="T30" s="124" t="str">
        <f>Translations!$K$11</f>
        <v>Next</v>
      </c>
      <c r="U30" s="3"/>
    </row>
    <row r="31" spans="1:21" ht="13.5" customHeight="1">
      <c r="A31" s="2"/>
      <c r="B31" s="2"/>
      <c r="C31" s="3"/>
      <c r="D31" s="3"/>
      <c r="E31" s="27" t="s">
        <v>571</v>
      </c>
      <c r="F31" s="27">
        <v>2004</v>
      </c>
      <c r="G31" s="29">
        <v>7020</v>
      </c>
      <c r="H31" s="29">
        <v>25000</v>
      </c>
      <c r="I31" s="29">
        <v>277000</v>
      </c>
      <c r="J31" s="3"/>
      <c r="L31" s="3"/>
      <c r="M31" s="126"/>
      <c r="N31" s="128"/>
      <c r="O31" s="128"/>
      <c r="P31" s="128"/>
      <c r="Q31" s="128"/>
      <c r="R31" s="123"/>
      <c r="S31" s="3"/>
      <c r="T31" s="124"/>
      <c r="U31" s="3"/>
    </row>
    <row r="32" spans="1:21" ht="13.5" customHeight="1">
      <c r="A32" s="2"/>
      <c r="B32" s="2"/>
      <c r="C32" s="3"/>
      <c r="D32" s="3"/>
      <c r="E32" s="3"/>
      <c r="F32" s="3"/>
      <c r="G32" s="3"/>
      <c r="H32" s="3"/>
      <c r="I32" s="3"/>
      <c r="J32" s="3"/>
      <c r="L32" s="3"/>
      <c r="M32" s="3"/>
      <c r="N32" s="3"/>
      <c r="O32" s="3"/>
      <c r="P32" s="3"/>
      <c r="Q32" s="3"/>
      <c r="R32" s="3"/>
      <c r="S32" s="3"/>
      <c r="T32" s="3"/>
      <c r="U32" s="3"/>
    </row>
    <row r="33" s="2" customFormat="1" ht="15" customHeight="1"/>
    <row r="34" s="2" customFormat="1" hidden="1"/>
  </sheetData>
  <mergeCells count="19">
    <mergeCell ref="C2:G3"/>
    <mergeCell ref="C4:G6"/>
    <mergeCell ref="H4:I5"/>
    <mergeCell ref="F7:H7"/>
    <mergeCell ref="M4:T5"/>
    <mergeCell ref="M16:T20"/>
    <mergeCell ref="M7:T12"/>
    <mergeCell ref="T30:T31"/>
    <mergeCell ref="M21:T22"/>
    <mergeCell ref="M23:R24"/>
    <mergeCell ref="S23:T24"/>
    <mergeCell ref="M30:M31"/>
    <mergeCell ref="N30:N31"/>
    <mergeCell ref="O30:O31"/>
    <mergeCell ref="P30:P31"/>
    <mergeCell ref="R30:R31"/>
    <mergeCell ref="Q30:Q31"/>
    <mergeCell ref="M27:T29"/>
    <mergeCell ref="M13:T15"/>
  </mergeCells>
  <conditionalFormatting sqref="F8:H8">
    <cfRule type="expression" dxfId="93" priority="2">
      <formula>DD_P3_StepNum=1</formula>
    </cfRule>
  </conditionalFormatting>
  <hyperlinks>
    <hyperlink ref="T30:T31" location="'4.Visualizing with POSITION'!A1" display="Next " xr:uid="{B9490B8B-B627-4924-9FFD-2DAA2E397440}"/>
  </hyperlinks>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3" id="{0EF91C44-E3BE-4A00-BABF-635ECC88D425}">
            <xm:f>$S$23=Badge!$H$4</xm:f>
            <x14:dxf>
              <font>
                <color theme="4" tint="-0.499984740745262"/>
              </font>
              <fill>
                <patternFill>
                  <bgColor theme="4" tint="0.79998168889431442"/>
                </patternFill>
              </fill>
            </x14:dxf>
          </x14:cfRule>
          <x14:cfRule type="expression" priority="4" id="{10CA7A47-4416-4F02-9D3F-53A7AF0803D7}">
            <xm:f>$S$23=Badge!$G$4</xm:f>
            <x14:dxf>
              <font>
                <color theme="8" tint="-0.499984740745262"/>
              </font>
              <fill>
                <patternFill>
                  <bgColor theme="8" tint="0.79998168889431442"/>
                </patternFill>
              </fill>
            </x14:dxf>
          </x14:cfRule>
          <xm:sqref>S23:S24</xm:sqref>
        </x14:conditionalFormatting>
        <x14:conditionalFormatting xmlns:xm="http://schemas.microsoft.com/office/excel/2006/main">
          <x14:cfRule type="expression" priority="29" id="{9365CB84-EDFE-450B-AF88-6CA31263D0AC}">
            <xm:f>_xlfn.XLOOKUP(M30,Badge!$C$3:$C$8,Badge!$J$3:$J$8)=0</xm:f>
            <x14:dxf>
              <font>
                <color theme="3"/>
              </font>
              <fill>
                <patternFill>
                  <bgColor rgb="FFE0E0E0"/>
                </patternFill>
              </fill>
            </x14:dxf>
          </x14:cfRule>
          <x14:cfRule type="expression" priority="30" id="{FB966577-2E10-4077-B390-A32A85634167}">
            <xm:f>_xlfn.XLOOKUP(M30,Badge!$C$3:$C$8,Badge!$J$3:$J$8)=1</xm:f>
            <x14:dxf>
              <font>
                <color theme="0"/>
              </font>
              <fill>
                <patternFill>
                  <bgColor theme="5"/>
                </patternFill>
              </fill>
            </x14:dxf>
          </x14:cfRule>
          <xm:sqref>M30:R31</xm:sqref>
        </x14:conditionalFormatting>
        <x14:conditionalFormatting xmlns:xm="http://schemas.microsoft.com/office/excel/2006/main">
          <x14:cfRule type="expression" priority="1" id="{CA29F5DE-9E7B-4FFF-87D0-F53FE832D163}">
            <xm:f>Badge!$J$5=0</xm:f>
            <x14:dxf>
              <font>
                <color theme="3"/>
              </font>
              <fill>
                <patternFill>
                  <bgColor rgb="FFE0E0E0"/>
                </patternFill>
              </fill>
            </x14:dxf>
          </x14:cfRule>
          <xm:sqref>T30:T31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69F833C-A91C-4D2D-A174-6295E400CF15}">
          <x14:formula1>
            <xm:f>'Tab1 Backend'!$B$9:$B$17</xm:f>
          </x14:formula1>
          <xm:sqref>M23:R23</xm:sqref>
        </x14:dataValidation>
        <x14:dataValidation type="list" allowBlank="1" showInputMessage="1" showErrorMessage="1" xr:uid="{0C961840-E02A-4B73-8BBF-14C37470657C}">
          <x14:formula1>
            <xm:f>'Tab1 Backend'!$T$9:$T$11</xm:f>
          </x14:formula1>
          <xm:sqref>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7ACE-8B69-44D8-9CE9-E39D74C281CD}">
  <sheetPr codeName="Sheet10">
    <tabColor theme="7"/>
  </sheetPr>
  <dimension ref="A1:AI37"/>
  <sheetViews>
    <sheetView zoomScale="115" zoomScaleNormal="115" workbookViewId="0">
      <selection activeCell="F32" sqref="F32"/>
    </sheetView>
  </sheetViews>
  <sheetFormatPr defaultColWidth="0" defaultRowHeight="16.5" customHeight="1" zeroHeight="1"/>
  <cols>
    <col min="1" max="1" width="0.25" style="24" customWidth="1"/>
    <col min="2" max="2" width="2.25" style="24" customWidth="1"/>
    <col min="3" max="3" width="2.5" style="2" customWidth="1"/>
    <col min="4" max="4" width="12.5" style="2" customWidth="1"/>
    <col min="5" max="6" width="20" style="2" customWidth="1"/>
    <col min="7" max="7" width="23.875" style="2" customWidth="1"/>
    <col min="8" max="8" width="24.625" style="2" customWidth="1"/>
    <col min="9" max="9" width="20" style="2" customWidth="1"/>
    <col min="10" max="10" width="2.5" style="2" customWidth="1"/>
    <col min="11" max="11" width="2.25" style="2" customWidth="1"/>
    <col min="12" max="12" width="2.5" style="2" customWidth="1"/>
    <col min="13" max="18" width="4.5" style="2" customWidth="1"/>
    <col min="19" max="19" width="10" style="2" customWidth="1"/>
    <col min="20" max="20" width="12.5" style="2" customWidth="1"/>
    <col min="21" max="23" width="2.5" style="2" customWidth="1"/>
    <col min="24" max="35" width="0" style="2" hidden="1" customWidth="1"/>
    <col min="36" max="16384" width="9.375" style="2" hidden="1"/>
  </cols>
  <sheetData>
    <row r="1" spans="1:23" s="24" customFormat="1" ht="6" customHeight="1">
      <c r="A1" s="23" t="s">
        <v>848</v>
      </c>
      <c r="B1" s="23"/>
      <c r="C1" s="2"/>
      <c r="D1" s="26"/>
      <c r="E1" s="2"/>
      <c r="F1" s="2"/>
      <c r="G1" s="2"/>
      <c r="H1" s="2"/>
      <c r="I1" s="2"/>
      <c r="J1" s="2"/>
      <c r="K1" s="2"/>
      <c r="L1" s="2"/>
      <c r="M1" s="2"/>
      <c r="N1" s="2"/>
      <c r="O1" s="2"/>
      <c r="P1" s="2"/>
      <c r="Q1" s="2"/>
      <c r="R1" s="2"/>
      <c r="S1" s="2"/>
      <c r="T1" s="2"/>
      <c r="U1" s="2"/>
      <c r="V1" s="2"/>
      <c r="W1" s="2"/>
    </row>
    <row r="2" spans="1:23" ht="13.5" customHeight="1" thickBot="1">
      <c r="A2" s="23" t="s">
        <v>850</v>
      </c>
      <c r="B2" s="2"/>
      <c r="C2" s="130" t="str">
        <f>Translations!K435</f>
        <v>Visualizing with position - scatter plot</v>
      </c>
      <c r="D2" s="130"/>
      <c r="E2" s="130"/>
      <c r="F2" s="130"/>
    </row>
    <row r="3" spans="1:23" ht="13.5" customHeight="1" thickBot="1">
      <c r="A3" s="23" t="s">
        <v>852</v>
      </c>
      <c r="B3" s="2"/>
      <c r="C3" s="130"/>
      <c r="D3" s="130"/>
      <c r="E3" s="130"/>
      <c r="F3" s="130"/>
      <c r="I3" s="47" t="str">
        <f>Translations!$K$155</f>
        <v>Choose ↓</v>
      </c>
      <c r="L3" s="3"/>
      <c r="M3" s="43"/>
      <c r="N3" s="43"/>
      <c r="O3" s="43"/>
      <c r="P3" s="43"/>
      <c r="Q3" s="43"/>
      <c r="R3" s="43"/>
      <c r="S3" s="43"/>
      <c r="T3" s="43"/>
      <c r="U3" s="3"/>
    </row>
    <row r="4" spans="1:23" ht="13.5" customHeight="1">
      <c r="A4" s="23" t="s">
        <v>854</v>
      </c>
      <c r="B4" s="2"/>
      <c r="C4" s="145" t="str">
        <f>Translations!K436</f>
        <v>Now that we have studied proportions with mass, investigate using position based charts to forecast the future!</v>
      </c>
      <c r="D4" s="145"/>
      <c r="E4" s="145"/>
      <c r="F4" s="145"/>
      <c r="G4" s="145"/>
      <c r="H4" s="137" t="s">
        <v>623</v>
      </c>
      <c r="I4" s="138"/>
      <c r="L4" s="3"/>
      <c r="M4" s="119" t="str">
        <f>Translations!K322</f>
        <v>What is a scatter chart?</v>
      </c>
      <c r="N4" s="119"/>
      <c r="O4" s="119"/>
      <c r="P4" s="119"/>
      <c r="Q4" s="119"/>
      <c r="R4" s="119"/>
      <c r="S4" s="119"/>
      <c r="T4" s="119"/>
      <c r="U4" s="3"/>
    </row>
    <row r="5" spans="1:23" ht="13.5" customHeight="1" thickBot="1">
      <c r="A5" s="23" t="s">
        <v>856</v>
      </c>
      <c r="B5" s="2"/>
      <c r="C5" s="145"/>
      <c r="D5" s="145"/>
      <c r="E5" s="145"/>
      <c r="F5" s="145"/>
      <c r="G5" s="145"/>
      <c r="H5" s="139"/>
      <c r="I5" s="140"/>
      <c r="L5" s="3"/>
      <c r="M5" s="119"/>
      <c r="N5" s="119"/>
      <c r="O5" s="119"/>
      <c r="P5" s="119"/>
      <c r="Q5" s="119"/>
      <c r="R5" s="119"/>
      <c r="S5" s="119"/>
      <c r="T5" s="119"/>
      <c r="U5" s="3"/>
    </row>
    <row r="6" spans="1:23" ht="13.5" customHeight="1">
      <c r="A6" s="23" t="s">
        <v>858</v>
      </c>
      <c r="B6" s="2"/>
      <c r="C6" s="145"/>
      <c r="D6" s="145"/>
      <c r="E6" s="145"/>
      <c r="F6" s="145"/>
      <c r="G6" s="145"/>
      <c r="L6" s="3"/>
      <c r="M6" s="42"/>
      <c r="N6" s="42"/>
      <c r="O6" s="42"/>
      <c r="P6" s="42"/>
      <c r="Q6" s="42"/>
      <c r="R6" s="42"/>
      <c r="S6" s="42"/>
      <c r="T6" s="42"/>
      <c r="U6" s="3"/>
    </row>
    <row r="7" spans="1:23" ht="18" customHeight="1">
      <c r="A7" s="23" t="str">
        <f>Translations!$K$10</f>
        <v>Press Ctrl key plus page down key to go to the next page.</v>
      </c>
      <c r="B7" s="2"/>
      <c r="C7" s="3"/>
      <c r="D7" s="3"/>
      <c r="E7" s="3"/>
      <c r="F7" s="149" t="str">
        <f>Translations!$K$442</f>
        <v>Comparing rocket efficiency</v>
      </c>
      <c r="G7" s="149"/>
      <c r="H7" s="149"/>
      <c r="I7" s="3"/>
      <c r="J7" s="3"/>
      <c r="L7" s="3"/>
      <c r="M7" s="135" t="str" cm="1">
        <f t="array" ref="M7">INDEX('Tab1 Backend'!$X$9:$X$11,'Tab1 Backend'!$W$7)</f>
        <v>Scatter charts allow for patterns in the data to be visualized. With each dot representing the POSITION of  each data point, trends can be found and used to predict future outcomes!</v>
      </c>
      <c r="N7" s="135"/>
      <c r="O7" s="135"/>
      <c r="P7" s="135"/>
      <c r="Q7" s="135"/>
      <c r="R7" s="135"/>
      <c r="S7" s="135"/>
      <c r="T7" s="135"/>
      <c r="U7" s="3"/>
    </row>
    <row r="8" spans="1:23" ht="13.5" customHeight="1">
      <c r="A8" s="2"/>
      <c r="B8" s="2"/>
      <c r="C8" s="3"/>
      <c r="D8" s="3"/>
      <c r="E8" s="3"/>
      <c r="F8" s="3"/>
      <c r="G8" s="3"/>
      <c r="H8" s="3"/>
      <c r="I8" s="3"/>
      <c r="J8" s="3"/>
      <c r="L8" s="3"/>
      <c r="M8" s="135"/>
      <c r="N8" s="135"/>
      <c r="O8" s="135"/>
      <c r="P8" s="135"/>
      <c r="Q8" s="135"/>
      <c r="R8" s="135"/>
      <c r="S8" s="135"/>
      <c r="T8" s="135"/>
      <c r="U8" s="3"/>
    </row>
    <row r="9" spans="1:23" ht="13.5" customHeight="1">
      <c r="A9" s="2"/>
      <c r="B9" s="2"/>
      <c r="C9" s="3"/>
      <c r="D9" s="3"/>
      <c r="E9" s="3"/>
      <c r="F9" s="3"/>
      <c r="G9" s="3"/>
      <c r="H9" s="3"/>
      <c r="I9" s="3"/>
      <c r="J9" s="3"/>
      <c r="L9" s="3"/>
      <c r="M9" s="135"/>
      <c r="N9" s="135"/>
      <c r="O9" s="135"/>
      <c r="P9" s="135"/>
      <c r="Q9" s="135"/>
      <c r="R9" s="135"/>
      <c r="S9" s="135"/>
      <c r="T9" s="135"/>
      <c r="U9" s="3"/>
    </row>
    <row r="10" spans="1:23" ht="13.5" customHeight="1">
      <c r="A10" s="2"/>
      <c r="B10" s="2"/>
      <c r="C10" s="3"/>
      <c r="D10" s="3"/>
      <c r="E10" s="3"/>
      <c r="F10" s="3"/>
      <c r="G10" s="3"/>
      <c r="H10" s="3"/>
      <c r="I10" s="3"/>
      <c r="J10" s="3"/>
      <c r="L10" s="3"/>
      <c r="M10" s="135"/>
      <c r="N10" s="135"/>
      <c r="O10" s="135"/>
      <c r="P10" s="135"/>
      <c r="Q10" s="135"/>
      <c r="R10" s="135"/>
      <c r="S10" s="135"/>
      <c r="T10" s="135"/>
      <c r="U10" s="89"/>
    </row>
    <row r="11" spans="1:23" ht="13.5" customHeight="1">
      <c r="A11" s="2"/>
      <c r="B11" s="2"/>
      <c r="C11" s="3"/>
      <c r="D11" s="3"/>
      <c r="E11" s="3"/>
      <c r="F11" s="3"/>
      <c r="G11" s="3"/>
      <c r="H11" s="3"/>
      <c r="I11" s="3"/>
      <c r="J11" s="3"/>
      <c r="L11" s="3"/>
      <c r="M11" s="135"/>
      <c r="N11" s="135"/>
      <c r="O11" s="135"/>
      <c r="P11" s="135"/>
      <c r="Q11" s="135"/>
      <c r="R11" s="135"/>
      <c r="S11" s="135"/>
      <c r="T11" s="135"/>
      <c r="U11" s="89"/>
    </row>
    <row r="12" spans="1:23" ht="13.5" customHeight="1" thickBot="1">
      <c r="A12" s="2"/>
      <c r="B12" s="2"/>
      <c r="C12" s="3"/>
      <c r="D12" s="3"/>
      <c r="E12" s="3"/>
      <c r="F12" s="3"/>
      <c r="G12" s="3"/>
      <c r="H12" s="3"/>
      <c r="I12" s="3"/>
      <c r="J12" s="3"/>
      <c r="L12" s="56"/>
      <c r="M12" s="136"/>
      <c r="N12" s="136"/>
      <c r="O12" s="136"/>
      <c r="P12" s="136"/>
      <c r="Q12" s="136"/>
      <c r="R12" s="136"/>
      <c r="S12" s="136"/>
      <c r="T12" s="136"/>
      <c r="U12" s="55"/>
    </row>
    <row r="13" spans="1:23" ht="13.5" customHeight="1" thickTop="1">
      <c r="A13" s="2"/>
      <c r="B13" s="2"/>
      <c r="C13" s="3"/>
      <c r="D13" s="3"/>
      <c r="E13" s="3"/>
      <c r="F13" s="3"/>
      <c r="G13" s="3"/>
      <c r="H13" s="3"/>
      <c r="I13" s="3"/>
      <c r="J13" s="3"/>
      <c r="L13" s="3"/>
      <c r="M13" s="141" t="str">
        <f>Translations!$K$411</f>
        <v>Done with the lesson on this page? Answer these questions!</v>
      </c>
      <c r="N13" s="141"/>
      <c r="O13" s="141"/>
      <c r="P13" s="141"/>
      <c r="Q13" s="141"/>
      <c r="R13" s="141"/>
      <c r="S13" s="141"/>
      <c r="T13" s="141"/>
      <c r="U13" s="89"/>
    </row>
    <row r="14" spans="1:23" ht="13.5" customHeight="1">
      <c r="A14" s="2"/>
      <c r="B14" s="2"/>
      <c r="C14" s="3"/>
      <c r="D14" s="3"/>
      <c r="E14" s="3"/>
      <c r="F14" s="3"/>
      <c r="G14" s="3"/>
      <c r="H14" s="3"/>
      <c r="I14" s="3"/>
      <c r="J14" s="3"/>
      <c r="L14" s="3"/>
      <c r="M14" s="141"/>
      <c r="N14" s="141"/>
      <c r="O14" s="141"/>
      <c r="P14" s="141"/>
      <c r="Q14" s="141"/>
      <c r="R14" s="141"/>
      <c r="S14" s="141"/>
      <c r="T14" s="141"/>
      <c r="U14" s="89"/>
    </row>
    <row r="15" spans="1:23" ht="13.5" customHeight="1" thickBot="1">
      <c r="A15" s="2"/>
      <c r="B15" s="2"/>
      <c r="C15" s="3"/>
      <c r="D15" s="3"/>
      <c r="E15" s="3"/>
      <c r="F15" s="3"/>
      <c r="G15" s="3"/>
      <c r="H15" s="3"/>
      <c r="I15" s="3"/>
      <c r="J15" s="3"/>
      <c r="L15" s="56"/>
      <c r="M15" s="142"/>
      <c r="N15" s="142"/>
      <c r="O15" s="142"/>
      <c r="P15" s="142"/>
      <c r="Q15" s="142"/>
      <c r="R15" s="142"/>
      <c r="S15" s="142"/>
      <c r="T15" s="142"/>
      <c r="U15" s="55"/>
    </row>
    <row r="16" spans="1:23" ht="13.5" customHeight="1" thickTop="1">
      <c r="A16" s="2"/>
      <c r="B16" s="2"/>
      <c r="C16" s="3"/>
      <c r="D16" s="3"/>
      <c r="E16" s="3"/>
      <c r="F16" s="3"/>
      <c r="G16" s="3"/>
      <c r="H16" s="3"/>
      <c r="I16" s="3"/>
      <c r="J16" s="3"/>
      <c r="L16" s="67"/>
      <c r="M16" s="165" t="str">
        <f>Translations!$K$412&amp;"-
"&amp;Translations!$K$443</f>
        <v>Discussion --
What are two other data sets from the table that would be a good fit for scatter plot charts?</v>
      </c>
      <c r="N16" s="165"/>
      <c r="O16" s="165"/>
      <c r="P16" s="165"/>
      <c r="Q16" s="165"/>
      <c r="R16" s="165"/>
      <c r="S16" s="165"/>
      <c r="T16" s="165"/>
      <c r="U16" s="68"/>
    </row>
    <row r="17" spans="1:21" ht="13.5" customHeight="1">
      <c r="A17" s="2"/>
      <c r="B17" s="2"/>
      <c r="C17" s="3"/>
      <c r="D17" s="3"/>
      <c r="E17" s="3"/>
      <c r="F17" s="3"/>
      <c r="G17" s="3"/>
      <c r="H17" s="3"/>
      <c r="I17" s="3"/>
      <c r="J17" s="3"/>
      <c r="L17" s="69"/>
      <c r="M17" s="120"/>
      <c r="N17" s="120"/>
      <c r="O17" s="120"/>
      <c r="P17" s="120"/>
      <c r="Q17" s="120"/>
      <c r="R17" s="120"/>
      <c r="S17" s="120"/>
      <c r="T17" s="120"/>
      <c r="U17" s="70"/>
    </row>
    <row r="18" spans="1:21" ht="13.5" customHeight="1">
      <c r="A18" s="2"/>
      <c r="B18" s="2"/>
      <c r="C18" s="3"/>
      <c r="D18" s="3"/>
      <c r="E18" s="3"/>
      <c r="F18" s="3"/>
      <c r="G18" s="3"/>
      <c r="H18" s="3"/>
      <c r="I18" s="3"/>
      <c r="J18" s="3"/>
      <c r="L18" s="69"/>
      <c r="M18" s="120"/>
      <c r="N18" s="120"/>
      <c r="O18" s="120"/>
      <c r="P18" s="120"/>
      <c r="Q18" s="120"/>
      <c r="R18" s="120"/>
      <c r="S18" s="120"/>
      <c r="T18" s="120"/>
      <c r="U18" s="70"/>
    </row>
    <row r="19" spans="1:21" ht="13.5" customHeight="1">
      <c r="A19" s="2"/>
      <c r="B19" s="2"/>
      <c r="C19" s="3"/>
      <c r="D19" s="3"/>
      <c r="E19" s="3"/>
      <c r="F19" s="3"/>
      <c r="G19" s="3"/>
      <c r="H19" s="3"/>
      <c r="I19" s="3"/>
      <c r="J19" s="3"/>
      <c r="L19" s="69"/>
      <c r="M19" s="120"/>
      <c r="N19" s="120"/>
      <c r="O19" s="120"/>
      <c r="P19" s="120"/>
      <c r="Q19" s="120"/>
      <c r="R19" s="120"/>
      <c r="S19" s="120"/>
      <c r="T19" s="120"/>
      <c r="U19" s="70"/>
    </row>
    <row r="20" spans="1:21" ht="13.5" customHeight="1" thickBot="1">
      <c r="A20" s="2"/>
      <c r="B20" s="2"/>
      <c r="C20" s="3"/>
      <c r="D20" s="3"/>
      <c r="E20" s="3"/>
      <c r="F20" s="3"/>
      <c r="G20" s="3"/>
      <c r="H20" s="3"/>
      <c r="I20" s="3"/>
      <c r="J20" s="3"/>
      <c r="L20" s="71"/>
      <c r="M20" s="121"/>
      <c r="N20" s="121"/>
      <c r="O20" s="121"/>
      <c r="P20" s="121"/>
      <c r="Q20" s="121"/>
      <c r="R20" s="121"/>
      <c r="S20" s="121"/>
      <c r="T20" s="121"/>
      <c r="U20" s="72"/>
    </row>
    <row r="21" spans="1:21" ht="13.5" customHeight="1" thickTop="1">
      <c r="A21" s="2"/>
      <c r="B21" s="2"/>
      <c r="C21" s="3"/>
      <c r="D21" s="3"/>
      <c r="E21" s="3"/>
      <c r="F21" s="3"/>
      <c r="G21" s="3"/>
      <c r="H21" s="3"/>
      <c r="I21" s="3"/>
      <c r="J21" s="3"/>
      <c r="L21" s="3"/>
      <c r="M21" s="134" t="str">
        <f>Badge!$E$6</f>
        <v>Q4. Using the given trendline, what could the Cost per kg be in 2025?</v>
      </c>
      <c r="N21" s="134"/>
      <c r="O21" s="134"/>
      <c r="P21" s="134"/>
      <c r="Q21" s="134"/>
      <c r="R21" s="134"/>
      <c r="S21" s="134"/>
      <c r="T21" s="134"/>
      <c r="U21" s="3"/>
    </row>
    <row r="22" spans="1:21" ht="18" customHeight="1" thickBot="1">
      <c r="A22" s="2"/>
      <c r="B22" s="2"/>
      <c r="C22" s="3"/>
      <c r="D22" s="3"/>
      <c r="E22" s="30" t="s">
        <v>408</v>
      </c>
      <c r="F22" s="30" t="s">
        <v>410</v>
      </c>
      <c r="G22" s="30" t="s">
        <v>822</v>
      </c>
      <c r="H22" s="30" t="s">
        <v>966</v>
      </c>
      <c r="I22" s="30" t="s">
        <v>931</v>
      </c>
      <c r="J22" s="3"/>
      <c r="L22" s="3"/>
      <c r="M22" s="134"/>
      <c r="N22" s="134"/>
      <c r="O22" s="134"/>
      <c r="P22" s="134"/>
      <c r="Q22" s="134"/>
      <c r="R22" s="134"/>
      <c r="S22" s="134"/>
      <c r="T22" s="134"/>
      <c r="U22" s="3"/>
    </row>
    <row r="23" spans="1:21" ht="13.5" customHeight="1">
      <c r="A23" s="2"/>
      <c r="B23" s="2"/>
      <c r="C23" s="3"/>
      <c r="D23" s="3"/>
      <c r="E23" s="27" t="s">
        <v>571</v>
      </c>
      <c r="F23" s="27">
        <v>2004</v>
      </c>
      <c r="G23" s="29">
        <v>7020</v>
      </c>
      <c r="H23" s="29">
        <v>80000000</v>
      </c>
      <c r="I23" s="29">
        <v>11396.011396011396</v>
      </c>
      <c r="J23" s="3"/>
      <c r="L23" s="3"/>
      <c r="M23" s="159"/>
      <c r="N23" s="160"/>
      <c r="O23" s="160"/>
      <c r="P23" s="160"/>
      <c r="Q23" s="160"/>
      <c r="R23" s="161"/>
      <c r="S23" s="150" t="str">
        <f ca="1">Badge!$I$6</f>
        <v/>
      </c>
      <c r="T23" s="150"/>
      <c r="U23" s="3"/>
    </row>
    <row r="24" spans="1:21" ht="13.5" customHeight="1" thickBot="1">
      <c r="A24" s="2"/>
      <c r="B24" s="2"/>
      <c r="C24" s="3"/>
      <c r="D24" s="3"/>
      <c r="E24" s="27" t="s">
        <v>566</v>
      </c>
      <c r="F24" s="27">
        <v>1996</v>
      </c>
      <c r="G24" s="29">
        <v>16000</v>
      </c>
      <c r="H24" s="29">
        <v>180000000</v>
      </c>
      <c r="I24" s="29">
        <v>11250</v>
      </c>
      <c r="J24" s="3"/>
      <c r="L24" s="3"/>
      <c r="M24" s="162"/>
      <c r="N24" s="163"/>
      <c r="O24" s="163"/>
      <c r="P24" s="163"/>
      <c r="Q24" s="163"/>
      <c r="R24" s="164"/>
      <c r="S24" s="150"/>
      <c r="T24" s="150"/>
      <c r="U24" s="3"/>
    </row>
    <row r="25" spans="1:21" ht="13.5" customHeight="1">
      <c r="A25" s="2"/>
      <c r="B25" s="2"/>
      <c r="C25" s="3"/>
      <c r="D25" s="3"/>
      <c r="E25" s="27" t="s">
        <v>223</v>
      </c>
      <c r="F25" s="27">
        <v>1999</v>
      </c>
      <c r="G25" s="29">
        <v>8600</v>
      </c>
      <c r="H25" s="29">
        <v>82000000</v>
      </c>
      <c r="I25" s="29">
        <v>9534.8837209302328</v>
      </c>
      <c r="J25" s="3"/>
      <c r="L25" s="3"/>
      <c r="M25" s="89"/>
      <c r="N25" s="89"/>
      <c r="O25" s="89"/>
      <c r="P25" s="89"/>
      <c r="Q25" s="89"/>
      <c r="R25" s="89"/>
      <c r="S25" s="89"/>
      <c r="T25" s="3"/>
      <c r="U25" s="3"/>
    </row>
    <row r="26" spans="1:21" ht="13.5" customHeight="1">
      <c r="A26" s="2"/>
      <c r="B26" s="2"/>
      <c r="C26" s="3"/>
      <c r="D26" s="3"/>
      <c r="E26" s="27" t="s">
        <v>569</v>
      </c>
      <c r="F26" s="27">
        <v>2001</v>
      </c>
      <c r="G26" s="29">
        <v>10000</v>
      </c>
      <c r="H26" s="29">
        <v>123000000</v>
      </c>
      <c r="I26" s="29">
        <v>12300</v>
      </c>
      <c r="J26" s="3"/>
    </row>
    <row r="27" spans="1:21" ht="13.5" customHeight="1">
      <c r="A27" s="2"/>
      <c r="B27" s="2"/>
      <c r="C27" s="3"/>
      <c r="D27" s="3"/>
      <c r="E27" s="27" t="s">
        <v>565</v>
      </c>
      <c r="F27" s="27">
        <v>2002</v>
      </c>
      <c r="G27" s="29">
        <v>21000</v>
      </c>
      <c r="H27" s="29">
        <v>220000000</v>
      </c>
      <c r="I27" s="29">
        <v>10476.190476190477</v>
      </c>
      <c r="J27" s="3"/>
      <c r="L27" s="3"/>
      <c r="M27" s="129" t="str">
        <f ca="1">Badge!$J$11</f>
        <v>Keep going to get your Space Data Badge!</v>
      </c>
      <c r="N27" s="129"/>
      <c r="O27" s="129"/>
      <c r="P27" s="129"/>
      <c r="Q27" s="129"/>
      <c r="R27" s="129"/>
      <c r="S27" s="129"/>
      <c r="T27" s="129"/>
      <c r="U27" s="3"/>
    </row>
    <row r="28" spans="1:21" ht="13.5" customHeight="1">
      <c r="A28" s="2"/>
      <c r="B28" s="2"/>
      <c r="C28" s="3"/>
      <c r="D28" s="3"/>
      <c r="E28" s="27" t="s">
        <v>567</v>
      </c>
      <c r="F28" s="27">
        <v>2006</v>
      </c>
      <c r="G28" s="29">
        <v>19000</v>
      </c>
      <c r="H28" s="29">
        <v>110000000</v>
      </c>
      <c r="I28" s="29">
        <v>5789.4736842105267</v>
      </c>
      <c r="J28" s="3"/>
      <c r="L28" s="3"/>
      <c r="M28" s="129"/>
      <c r="N28" s="129"/>
      <c r="O28" s="129"/>
      <c r="P28" s="129"/>
      <c r="Q28" s="129"/>
      <c r="R28" s="129"/>
      <c r="S28" s="129"/>
      <c r="T28" s="129"/>
      <c r="U28" s="3"/>
    </row>
    <row r="29" spans="1:21" ht="13.5" customHeight="1" thickBot="1">
      <c r="A29" s="2"/>
      <c r="B29" s="2"/>
      <c r="C29" s="3"/>
      <c r="D29" s="3"/>
      <c r="E29" s="27" t="s">
        <v>568</v>
      </c>
      <c r="F29" s="27">
        <v>2010</v>
      </c>
      <c r="G29" s="29">
        <v>10500</v>
      </c>
      <c r="H29" s="29">
        <v>62000000</v>
      </c>
      <c r="I29" s="29">
        <v>5904.7619047619046</v>
      </c>
      <c r="J29" s="3"/>
      <c r="L29" s="3"/>
      <c r="M29" s="129"/>
      <c r="N29" s="129"/>
      <c r="O29" s="129"/>
      <c r="P29" s="129"/>
      <c r="Q29" s="129"/>
      <c r="R29" s="129"/>
      <c r="S29" s="129"/>
      <c r="T29" s="129"/>
      <c r="U29" s="3"/>
    </row>
    <row r="30" spans="1:21" ht="13.5" customHeight="1">
      <c r="A30" s="2"/>
      <c r="B30" s="2"/>
      <c r="C30" s="3"/>
      <c r="D30" s="3"/>
      <c r="E30" s="27" t="s">
        <v>221</v>
      </c>
      <c r="F30" s="27">
        <v>2018</v>
      </c>
      <c r="G30" s="29">
        <v>15600</v>
      </c>
      <c r="H30" s="29">
        <v>65000000</v>
      </c>
      <c r="I30" s="29">
        <v>4166.666666666667</v>
      </c>
      <c r="J30" s="3"/>
      <c r="L30" s="3"/>
      <c r="M30" s="151" t="str">
        <f ca="1">Badge!$C$3</f>
        <v>Q1</v>
      </c>
      <c r="N30" s="153" t="str">
        <f ca="1">Badge!$C$4</f>
        <v>Q2</v>
      </c>
      <c r="O30" s="155" t="str">
        <f ca="1">Badge!$C$5</f>
        <v>Q3</v>
      </c>
      <c r="P30" s="153" t="str">
        <f ca="1">Badge!$C$6</f>
        <v>Q4</v>
      </c>
      <c r="Q30" s="153" t="str">
        <f ca="1">Badge!$C$7</f>
        <v>Q5</v>
      </c>
      <c r="R30" s="157" t="str">
        <f ca="1">Badge!$C$8</f>
        <v>Q6</v>
      </c>
      <c r="S30" s="31"/>
      <c r="T30" s="124" t="str">
        <f>Translations!$K$11</f>
        <v>Next</v>
      </c>
      <c r="U30" s="3"/>
    </row>
    <row r="31" spans="1:21" ht="13.5" customHeight="1" thickBot="1">
      <c r="A31" s="2"/>
      <c r="B31" s="2"/>
      <c r="C31" s="3"/>
      <c r="D31" s="3"/>
      <c r="E31" s="27" t="s">
        <v>570</v>
      </c>
      <c r="F31" s="27">
        <v>2022</v>
      </c>
      <c r="G31" s="29">
        <v>95000</v>
      </c>
      <c r="H31" s="29">
        <v>500000000</v>
      </c>
      <c r="I31" s="29">
        <v>5263.1578947368425</v>
      </c>
      <c r="J31" s="3"/>
      <c r="L31" s="3"/>
      <c r="M31" s="152"/>
      <c r="N31" s="154"/>
      <c r="O31" s="156"/>
      <c r="P31" s="154"/>
      <c r="Q31" s="154"/>
      <c r="R31" s="158"/>
      <c r="S31" s="3"/>
      <c r="T31" s="124"/>
      <c r="U31" s="3"/>
    </row>
    <row r="32" spans="1:21" ht="13.5" customHeight="1">
      <c r="A32" s="2"/>
      <c r="B32" s="2"/>
      <c r="C32" s="3"/>
      <c r="D32" s="3"/>
      <c r="E32" s="3"/>
      <c r="F32" s="3"/>
      <c r="G32" s="3"/>
      <c r="H32" s="3"/>
      <c r="I32" s="3"/>
      <c r="J32" s="3"/>
      <c r="L32" s="3"/>
      <c r="M32" s="3"/>
      <c r="N32" s="3"/>
      <c r="O32" s="3"/>
      <c r="P32" s="3"/>
      <c r="Q32" s="3"/>
      <c r="R32" s="3"/>
      <c r="S32" s="3"/>
      <c r="T32" s="3"/>
      <c r="U32" s="3"/>
    </row>
    <row r="33" spans="1:9" ht="15" customHeight="1">
      <c r="A33" s="2"/>
      <c r="B33" s="2"/>
    </row>
    <row r="34" spans="1:9">
      <c r="A34" s="2"/>
      <c r="B34" s="2"/>
      <c r="F34" s="2" t="e">
        <f>IF('Tab1 Backend'!$W$7=3,2027,NA())</f>
        <v>#N/A</v>
      </c>
      <c r="I34" s="2" t="e">
        <f>IF('Tab1 Backend'!$W$7=3,_xlfn.FORECAST.LINEAR(2027,Tbl_P4F[Cost per kg ($/kg)],Tbl_P4F[First launch]),NA())</f>
        <v>#N/A</v>
      </c>
    </row>
    <row r="35" spans="1:9" ht="16.5" customHeight="1">
      <c r="I35" s="2" t="e">
        <f>IF('Tab1 Backend'!$W$7=3,-1,NA())</f>
        <v>#N/A</v>
      </c>
    </row>
    <row r="36" spans="1:9" ht="16.5" customHeight="1"/>
    <row r="37" spans="1:9" ht="16.5" customHeight="1"/>
  </sheetData>
  <mergeCells count="19">
    <mergeCell ref="C2:F3"/>
    <mergeCell ref="C4:G6"/>
    <mergeCell ref="H4:I5"/>
    <mergeCell ref="M4:T5"/>
    <mergeCell ref="M16:T20"/>
    <mergeCell ref="T30:T31"/>
    <mergeCell ref="F7:H7"/>
    <mergeCell ref="M21:T22"/>
    <mergeCell ref="S23:T24"/>
    <mergeCell ref="M30:M31"/>
    <mergeCell ref="N30:N31"/>
    <mergeCell ref="O30:O31"/>
    <mergeCell ref="P30:P31"/>
    <mergeCell ref="Q30:Q31"/>
    <mergeCell ref="R30:R31"/>
    <mergeCell ref="M23:R24"/>
    <mergeCell ref="M27:T29"/>
    <mergeCell ref="M7:T12"/>
    <mergeCell ref="M13:T15"/>
  </mergeCells>
  <hyperlinks>
    <hyperlink ref="T30:T31" location="'5.Visualizing with COMPLEXITY'!A1" display="Next " xr:uid="{D11FEFFF-4E42-4585-933D-AC197E85A51B}"/>
  </hyperlink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 id="{18B96C7F-3BD1-4080-B521-5DB3C49D3333}">
            <xm:f>$S$23=Badge!$H$6</xm:f>
            <x14:dxf>
              <font>
                <color theme="4" tint="-0.499984740745262"/>
              </font>
              <fill>
                <patternFill>
                  <bgColor theme="4" tint="0.79998168889431442"/>
                </patternFill>
              </fill>
            </x14:dxf>
          </x14:cfRule>
          <x14:cfRule type="expression" priority="3" id="{A654972E-B703-41D2-A471-47EC6D2DA6F0}">
            <xm:f>$S$23=Badge!$G$6</xm:f>
            <x14:dxf>
              <font>
                <color theme="8" tint="-0.499984740745262"/>
              </font>
              <fill>
                <patternFill>
                  <bgColor theme="8" tint="0.79998168889431442"/>
                </patternFill>
              </fill>
            </x14:dxf>
          </x14:cfRule>
          <xm:sqref>S23:S24</xm:sqref>
        </x14:conditionalFormatting>
        <x14:conditionalFormatting xmlns:xm="http://schemas.microsoft.com/office/excel/2006/main">
          <x14:cfRule type="expression" priority="31" id="{24082C37-4A84-455A-9840-9550D5E9B303}">
            <xm:f>_xlfn.XLOOKUP(M30,Badge!$C$3:$C$8,Badge!$J$3:$J$8)=0</xm:f>
            <x14:dxf>
              <font>
                <color theme="3"/>
              </font>
              <fill>
                <patternFill>
                  <bgColor rgb="FFE0E0E0"/>
                </patternFill>
              </fill>
            </x14:dxf>
          </x14:cfRule>
          <x14:cfRule type="expression" priority="32" id="{3E6ECCDA-F1E9-4AFC-8918-4A8AAB896485}">
            <xm:f>_xlfn.XLOOKUP(M30,Badge!$C$3:$C$8,Badge!$J$3:$J$8)=1</xm:f>
            <x14:dxf>
              <font>
                <color theme="0"/>
              </font>
              <fill>
                <patternFill>
                  <bgColor theme="5"/>
                </patternFill>
              </fill>
            </x14:dxf>
          </x14:cfRule>
          <xm:sqref>M30:R31</xm:sqref>
        </x14:conditionalFormatting>
        <x14:conditionalFormatting xmlns:xm="http://schemas.microsoft.com/office/excel/2006/main">
          <x14:cfRule type="expression" priority="1" id="{39F54037-9677-4D96-BC60-039A1F218460}">
            <xm:f>Badge!$J$6=0</xm:f>
            <x14:dxf>
              <font>
                <color theme="3"/>
              </font>
              <fill>
                <patternFill>
                  <bgColor rgb="FFE0E0E0"/>
                </patternFill>
              </fill>
            </x14:dxf>
          </x14:cfRule>
          <xm:sqref>T30:T31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6629863-B8D0-417F-9E11-C5CF0850FBBE}">
          <x14:formula1>
            <xm:f>'Tab1 Backend'!$W$9:$W$11</xm:f>
          </x14:formula1>
          <xm:sqref>H4</xm:sqref>
        </x14:dataValidation>
        <x14:dataValidation type="list" allowBlank="1" showInputMessage="1" showErrorMessage="1" xr:uid="{DDD3A73A-8549-4F16-96DF-493A02995166}">
          <x14:formula1>
            <xm:f>Badge!$R$3:$R$8</xm:f>
          </x14:formula1>
          <xm:sqref>M23:R24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23AAF-D234-4B4A-96C5-3639A53AA7C6}">
  <sheetPr codeName="Sheet16">
    <tabColor theme="7"/>
  </sheetPr>
  <dimension ref="B1:R37"/>
  <sheetViews>
    <sheetView workbookViewId="0"/>
  </sheetViews>
  <sheetFormatPr defaultColWidth="9.375" defaultRowHeight="18.75" customHeight="1"/>
  <cols>
    <col min="1" max="2" width="3.125" style="2" customWidth="1"/>
    <col min="3" max="4" width="21.875" style="2" customWidth="1"/>
    <col min="5" max="5" width="18.75" style="2" customWidth="1"/>
    <col min="6" max="6" width="3.125" style="2" customWidth="1"/>
    <col min="7" max="7" width="2.5" style="2" customWidth="1"/>
    <col min="8" max="8" width="3.125" style="2" customWidth="1"/>
    <col min="9" max="10" width="15.625" style="2" customWidth="1"/>
    <col min="11" max="11" width="21.875" style="2" customWidth="1"/>
    <col min="12" max="12" width="3.125" style="2" customWidth="1"/>
    <col min="13" max="13" width="15.625" style="2" customWidth="1"/>
    <col min="14" max="14" width="12.5" style="2" customWidth="1"/>
    <col min="15" max="15" width="18.75" style="2" customWidth="1"/>
    <col min="16" max="16" width="21.875" style="2" customWidth="1"/>
    <col min="17" max="17" width="20.375" style="2" customWidth="1"/>
    <col min="18" max="18" width="3.125" style="2" customWidth="1"/>
    <col min="19" max="16384" width="9.375" style="2"/>
  </cols>
  <sheetData>
    <row r="1" spans="2:18" ht="11.25" customHeight="1"/>
    <row r="2" spans="2:18" ht="26.25" customHeight="1">
      <c r="B2" s="173" t="s">
        <v>967</v>
      </c>
      <c r="C2" s="173"/>
      <c r="D2" s="173"/>
      <c r="E2" s="173"/>
      <c r="F2" s="173"/>
      <c r="H2" s="183" t="str">
        <f>'Backend P6'!$X$1</f>
        <v>Time in space by Country</v>
      </c>
      <c r="I2" s="183"/>
      <c r="J2" s="183"/>
      <c r="K2" s="183"/>
      <c r="L2" s="183"/>
      <c r="M2" s="183"/>
      <c r="N2" s="183"/>
      <c r="O2" s="3"/>
      <c r="P2" s="3"/>
      <c r="Q2" s="3"/>
      <c r="R2" s="3"/>
    </row>
    <row r="3" spans="2:18" ht="18.75" customHeight="1">
      <c r="B3" s="174" t="s">
        <v>968</v>
      </c>
      <c r="C3" s="174"/>
      <c r="D3" s="174"/>
      <c r="E3" s="174"/>
      <c r="F3" s="174"/>
      <c r="H3" s="3"/>
      <c r="I3" s="3"/>
      <c r="J3" s="3"/>
      <c r="K3" s="3"/>
      <c r="L3" s="3"/>
      <c r="M3" s="3"/>
      <c r="N3" s="3"/>
      <c r="O3" s="3"/>
      <c r="P3" s="3"/>
      <c r="Q3" s="3"/>
      <c r="R3" s="3"/>
    </row>
    <row r="4" spans="2:18" ht="18.75" customHeight="1">
      <c r="B4" s="174"/>
      <c r="C4" s="174"/>
      <c r="D4" s="174"/>
      <c r="E4" s="174"/>
      <c r="F4" s="174"/>
      <c r="H4" s="3"/>
      <c r="I4" s="3"/>
      <c r="J4" s="3"/>
      <c r="K4" s="3"/>
      <c r="L4" s="3"/>
      <c r="M4" s="3"/>
      <c r="N4" s="3"/>
      <c r="O4" s="3"/>
      <c r="P4" s="3"/>
      <c r="Q4" s="3"/>
      <c r="R4" s="3"/>
    </row>
    <row r="5" spans="2:18" ht="18.75" customHeight="1">
      <c r="B5" s="174"/>
      <c r="C5" s="174"/>
      <c r="D5" s="174"/>
      <c r="E5" s="174"/>
      <c r="F5" s="174"/>
      <c r="H5" s="3"/>
      <c r="I5" s="3"/>
      <c r="J5" s="3"/>
      <c r="K5" s="3"/>
      <c r="L5" s="3"/>
      <c r="M5" s="3"/>
      <c r="N5" s="3"/>
      <c r="O5" s="3"/>
      <c r="P5" s="3"/>
      <c r="Q5" s="3"/>
      <c r="R5" s="3"/>
    </row>
    <row r="6" spans="2:18" ht="7.5" customHeight="1" thickBot="1">
      <c r="H6" s="3"/>
      <c r="I6" s="3"/>
      <c r="J6" s="3"/>
      <c r="K6" s="3"/>
      <c r="L6" s="3"/>
      <c r="M6" s="3"/>
      <c r="N6" s="3"/>
      <c r="O6" s="3"/>
      <c r="P6" s="3"/>
      <c r="Q6" s="3"/>
      <c r="R6" s="3"/>
    </row>
    <row r="7" spans="2:18" ht="18.75" customHeight="1">
      <c r="B7" s="175" t="s">
        <v>969</v>
      </c>
      <c r="C7" s="176"/>
      <c r="D7" s="177"/>
      <c r="H7" s="3"/>
      <c r="I7" s="3"/>
      <c r="J7" s="3"/>
      <c r="K7" s="3"/>
      <c r="L7" s="3"/>
      <c r="M7" s="3"/>
      <c r="N7" s="3"/>
      <c r="O7" s="3"/>
      <c r="P7" s="3"/>
      <c r="Q7" s="3"/>
      <c r="R7" s="3"/>
    </row>
    <row r="8" spans="2:18" ht="18.75" customHeight="1" thickBot="1">
      <c r="B8" s="178"/>
      <c r="C8" s="179"/>
      <c r="D8" s="180"/>
      <c r="H8" s="3"/>
      <c r="I8" s="3"/>
      <c r="J8" s="3"/>
      <c r="K8" s="3"/>
      <c r="L8" s="3"/>
      <c r="M8" s="3"/>
      <c r="N8" s="3"/>
      <c r="O8" s="18" t="s">
        <v>970</v>
      </c>
      <c r="P8" s="18" t="s">
        <v>237</v>
      </c>
      <c r="Q8" s="18" t="s">
        <v>183</v>
      </c>
      <c r="R8" s="3"/>
    </row>
    <row r="9" spans="2:18" ht="15" customHeight="1">
      <c r="H9" s="3"/>
      <c r="I9" s="3"/>
      <c r="J9" s="3"/>
      <c r="K9" s="3"/>
      <c r="L9" s="3"/>
      <c r="M9" s="3"/>
      <c r="N9" s="3"/>
      <c r="O9" t="s">
        <v>970</v>
      </c>
      <c r="P9" t="s">
        <v>237</v>
      </c>
      <c r="Q9" t="s">
        <v>971</v>
      </c>
      <c r="R9" s="3"/>
    </row>
    <row r="10" spans="2:18" ht="15" customHeight="1">
      <c r="B10" s="3"/>
      <c r="C10" s="3"/>
      <c r="D10" s="3"/>
      <c r="E10" s="3"/>
      <c r="F10" s="3"/>
      <c r="H10" s="3"/>
      <c r="I10" s="3"/>
      <c r="J10" s="3"/>
      <c r="K10" s="3"/>
      <c r="L10" s="3"/>
      <c r="M10" s="3"/>
      <c r="N10" s="3"/>
      <c r="O10" s="19" t="s">
        <v>972</v>
      </c>
      <c r="P10" s="19" t="s">
        <v>973</v>
      </c>
      <c r="Q10" s="20">
        <f>'Backend P6'!I3</f>
        <v>165.35126006943028</v>
      </c>
      <c r="R10" s="3"/>
    </row>
    <row r="11" spans="2:18" ht="15" customHeight="1">
      <c r="B11" s="3"/>
      <c r="C11" s="181" t="str" cm="1">
        <f t="array" ref="C11">INDEX('Backend P6'!$U$3:$U$6,'Backend P6'!$T$1)</f>
        <v>Durations of trips to space can vary from a few days, to more than a year!</v>
      </c>
      <c r="D11" s="181"/>
      <c r="E11" s="3"/>
      <c r="F11" s="3"/>
      <c r="H11" s="3"/>
      <c r="I11" s="3"/>
      <c r="J11" s="3"/>
      <c r="K11" s="3"/>
      <c r="L11" s="3"/>
      <c r="M11" s="3"/>
      <c r="N11" s="3"/>
      <c r="O11" s="19" t="s">
        <v>972</v>
      </c>
      <c r="P11" s="19" t="s">
        <v>974</v>
      </c>
      <c r="Q11" s="20">
        <f>'Backend P6'!I4</f>
        <v>1354.7711342592593</v>
      </c>
      <c r="R11" s="3"/>
    </row>
    <row r="12" spans="2:18" ht="15" customHeight="1">
      <c r="B12" s="3"/>
      <c r="C12" s="181"/>
      <c r="D12" s="181"/>
      <c r="E12" s="13"/>
      <c r="F12" s="3"/>
      <c r="H12" s="3"/>
      <c r="I12" s="3"/>
      <c r="J12" s="3"/>
      <c r="K12" s="3"/>
      <c r="L12" s="3"/>
      <c r="M12" s="3"/>
      <c r="N12" s="3"/>
      <c r="O12" s="19" t="s">
        <v>975</v>
      </c>
      <c r="P12" s="19" t="s">
        <v>976</v>
      </c>
      <c r="Q12" s="20">
        <f>'Backend P6'!I5</f>
        <v>628.77449074073229</v>
      </c>
      <c r="R12" s="3"/>
    </row>
    <row r="13" spans="2:18" ht="15" customHeight="1">
      <c r="B13" s="3"/>
      <c r="C13" s="181"/>
      <c r="D13" s="181"/>
      <c r="E13" s="13"/>
      <c r="F13" s="3"/>
      <c r="H13" s="3"/>
      <c r="I13" s="3"/>
      <c r="J13" s="3"/>
      <c r="K13" s="3"/>
      <c r="L13" s="3"/>
      <c r="M13" s="3"/>
      <c r="N13" s="3"/>
      <c r="O13" s="19" t="s">
        <v>975</v>
      </c>
      <c r="P13" s="19" t="s">
        <v>977</v>
      </c>
      <c r="Q13" s="20">
        <f>'Backend P6'!I6</f>
        <v>854.68270833334464</v>
      </c>
      <c r="R13" s="3"/>
    </row>
    <row r="14" spans="2:18" ht="15" customHeight="1">
      <c r="B14" s="3"/>
      <c r="C14" s="181"/>
      <c r="D14" s="181"/>
      <c r="E14" s="13"/>
      <c r="F14" s="3"/>
      <c r="H14" s="3"/>
      <c r="I14" s="3"/>
      <c r="J14" s="3"/>
      <c r="K14" s="3"/>
      <c r="L14" s="3"/>
      <c r="M14" s="3"/>
      <c r="N14" s="3"/>
      <c r="O14" s="19" t="s">
        <v>975</v>
      </c>
      <c r="P14" s="19" t="s">
        <v>978</v>
      </c>
      <c r="Q14" s="20">
        <f>'Backend P6'!I7</f>
        <v>28406.332504398153</v>
      </c>
      <c r="R14" s="3"/>
    </row>
    <row r="15" spans="2:18" ht="15" customHeight="1">
      <c r="B15" s="3"/>
      <c r="C15" s="181"/>
      <c r="D15" s="181"/>
      <c r="E15" s="3"/>
      <c r="F15" s="3"/>
      <c r="H15" s="3"/>
      <c r="I15" s="3"/>
      <c r="J15" s="3"/>
      <c r="K15" s="3"/>
      <c r="L15" s="3"/>
      <c r="M15" s="3"/>
      <c r="N15" s="3"/>
      <c r="O15" s="19" t="s">
        <v>979</v>
      </c>
      <c r="P15" s="19" t="s">
        <v>980</v>
      </c>
      <c r="Q15" s="20">
        <f>'Backend P6'!I8</f>
        <v>697.94023148146516</v>
      </c>
      <c r="R15" s="3"/>
    </row>
    <row r="16" spans="2:18" ht="15" customHeight="1">
      <c r="B16" s="3"/>
      <c r="C16" s="181"/>
      <c r="D16" s="181"/>
      <c r="E16" s="13"/>
      <c r="F16" s="3"/>
      <c r="H16" s="3"/>
      <c r="I16" s="3"/>
      <c r="J16" s="3"/>
      <c r="K16" s="3"/>
      <c r="L16" s="3"/>
      <c r="M16" s="3"/>
      <c r="N16" s="3"/>
      <c r="O16" s="19" t="s">
        <v>979</v>
      </c>
      <c r="P16" s="19" t="s">
        <v>981</v>
      </c>
      <c r="Q16" s="20">
        <f>'Backend P6'!I9</f>
        <v>20446.44159930537</v>
      </c>
      <c r="R16" s="3"/>
    </row>
    <row r="17" spans="2:18" ht="15" customHeight="1">
      <c r="B17" s="3"/>
      <c r="C17" s="181"/>
      <c r="D17" s="181"/>
      <c r="E17" s="13"/>
      <c r="F17" s="3"/>
      <c r="H17" s="3"/>
      <c r="I17" s="3"/>
      <c r="J17" s="3"/>
      <c r="K17" s="3"/>
      <c r="L17" s="3"/>
      <c r="M17" s="3"/>
      <c r="N17" s="3"/>
      <c r="O17" s="19" t="s">
        <v>982</v>
      </c>
      <c r="P17" s="19" t="s">
        <v>983</v>
      </c>
      <c r="Q17" s="20">
        <f>'Backend P6'!I10</f>
        <v>3573.7094791666932</v>
      </c>
      <c r="R17" s="3"/>
    </row>
    <row r="18" spans="2:18" ht="15" customHeight="1">
      <c r="B18" s="3"/>
      <c r="C18" s="13"/>
      <c r="D18" s="13"/>
      <c r="E18" s="13"/>
      <c r="F18" s="3"/>
      <c r="H18" s="3"/>
      <c r="I18" s="3"/>
      <c r="J18" s="3"/>
      <c r="K18" s="3"/>
      <c r="L18" s="3"/>
      <c r="M18" s="3"/>
      <c r="N18" s="3"/>
      <c r="O18" s="3"/>
      <c r="P18" s="3"/>
      <c r="Q18" s="3"/>
      <c r="R18" s="3"/>
    </row>
    <row r="19" spans="2:18" ht="15" customHeight="1">
      <c r="H19" s="3"/>
      <c r="I19" s="3"/>
      <c r="J19" s="3"/>
      <c r="K19" s="3"/>
      <c r="L19" s="3"/>
      <c r="M19" s="3"/>
      <c r="N19" s="3"/>
      <c r="O19" s="3"/>
      <c r="P19" s="3"/>
      <c r="Q19" s="3"/>
      <c r="R19" s="3"/>
    </row>
    <row r="20" spans="2:18" ht="15" customHeight="1">
      <c r="B20" s="3"/>
      <c r="C20" s="3"/>
      <c r="D20" s="3"/>
      <c r="E20" s="3"/>
      <c r="F20" s="3"/>
      <c r="H20" s="3"/>
      <c r="I20" s="3"/>
      <c r="J20" s="3"/>
      <c r="K20" s="3"/>
      <c r="L20" s="3"/>
      <c r="M20" s="3"/>
      <c r="N20" s="3"/>
      <c r="O20" s="3"/>
      <c r="P20" s="3"/>
      <c r="Q20" s="3"/>
      <c r="R20" s="3"/>
    </row>
    <row r="21" spans="2:18" ht="15" customHeight="1">
      <c r="B21" s="4"/>
      <c r="C21" s="14"/>
      <c r="D21" s="7" t="s">
        <v>984</v>
      </c>
      <c r="E21" s="4"/>
      <c r="F21" s="4"/>
      <c r="H21" s="3"/>
      <c r="I21" s="3"/>
      <c r="J21" s="3"/>
      <c r="K21" s="3"/>
      <c r="L21" s="3"/>
      <c r="M21" s="3"/>
      <c r="N21" s="3"/>
      <c r="O21" s="3"/>
      <c r="P21" s="3"/>
      <c r="Q21" s="3"/>
      <c r="R21" s="3"/>
    </row>
    <row r="22" spans="2:18" ht="15" customHeight="1">
      <c r="B22" s="4"/>
      <c r="C22" s="14"/>
      <c r="D22" s="172" t="s">
        <v>985</v>
      </c>
      <c r="E22" s="172"/>
      <c r="F22" s="4"/>
      <c r="H22" s="3"/>
      <c r="I22" s="3"/>
      <c r="J22" s="3"/>
      <c r="K22" s="3"/>
      <c r="L22" s="3"/>
      <c r="M22" s="3"/>
      <c r="N22" s="3"/>
      <c r="O22" s="3"/>
      <c r="P22" s="3"/>
      <c r="Q22" s="3"/>
      <c r="R22" s="3"/>
    </row>
    <row r="23" spans="2:18" ht="15" customHeight="1">
      <c r="B23" s="4"/>
      <c r="C23" s="14"/>
      <c r="D23" s="172"/>
      <c r="E23" s="172"/>
      <c r="F23" s="4"/>
      <c r="H23" s="3"/>
      <c r="I23" s="3"/>
      <c r="J23" s="3"/>
      <c r="K23" s="3"/>
      <c r="L23" s="3"/>
      <c r="M23" s="3"/>
      <c r="N23" s="3"/>
      <c r="O23" s="3"/>
      <c r="P23" s="3"/>
      <c r="Q23" s="3"/>
      <c r="R23" s="3"/>
    </row>
    <row r="24" spans="2:18" ht="15" customHeight="1">
      <c r="B24" s="4"/>
      <c r="C24" s="14"/>
      <c r="D24" s="172"/>
      <c r="E24" s="172"/>
      <c r="F24" s="4"/>
      <c r="H24" s="3"/>
      <c r="I24" s="3"/>
      <c r="J24" s="3"/>
      <c r="K24" s="3"/>
      <c r="L24" s="3"/>
      <c r="M24" s="3"/>
      <c r="N24" s="3"/>
      <c r="O24" s="3"/>
      <c r="P24" s="3"/>
      <c r="Q24" s="3"/>
      <c r="R24" s="3"/>
    </row>
    <row r="25" spans="2:18" ht="15" customHeight="1">
      <c r="B25" s="4"/>
      <c r="C25" s="14"/>
      <c r="D25" s="172"/>
      <c r="E25" s="172"/>
      <c r="F25" s="4"/>
      <c r="H25" s="3"/>
      <c r="I25" s="3"/>
      <c r="J25" s="3"/>
      <c r="K25" s="3"/>
      <c r="L25" s="3"/>
      <c r="M25" s="3"/>
      <c r="N25" s="3"/>
      <c r="O25" s="3"/>
      <c r="P25" s="3"/>
      <c r="Q25" s="3"/>
      <c r="R25" s="3"/>
    </row>
    <row r="26" spans="2:18" ht="15" customHeight="1">
      <c r="B26" s="3"/>
      <c r="C26" s="3"/>
      <c r="D26" s="3"/>
      <c r="E26" s="3"/>
      <c r="F26" s="3"/>
      <c r="H26" s="3"/>
      <c r="I26" s="3"/>
      <c r="J26" s="3"/>
      <c r="K26" s="3"/>
      <c r="L26" s="3"/>
      <c r="M26" s="3"/>
      <c r="N26" s="3"/>
      <c r="O26" s="3"/>
      <c r="P26" s="3"/>
      <c r="Q26" s="3"/>
      <c r="R26" s="3"/>
    </row>
    <row r="27" spans="2:18" ht="15" customHeight="1">
      <c r="H27" s="3"/>
      <c r="I27" s="3"/>
      <c r="J27" s="3"/>
      <c r="K27" s="3"/>
      <c r="L27" s="3"/>
      <c r="M27" s="3"/>
      <c r="N27" s="3"/>
      <c r="O27" s="3"/>
      <c r="P27" s="3"/>
      <c r="Q27" s="3"/>
      <c r="R27" s="3"/>
    </row>
    <row r="28" spans="2:18" ht="15" customHeight="1">
      <c r="B28" s="3"/>
      <c r="C28" s="3"/>
      <c r="D28" s="3"/>
      <c r="E28" s="3"/>
      <c r="F28" s="3"/>
      <c r="H28" s="3"/>
      <c r="I28" s="3"/>
      <c r="J28" s="3"/>
      <c r="K28" s="3"/>
      <c r="L28" s="3"/>
      <c r="M28" s="3"/>
      <c r="N28" s="3"/>
      <c r="O28" s="3"/>
      <c r="P28" s="3"/>
      <c r="Q28" s="3"/>
      <c r="R28" s="3"/>
    </row>
    <row r="29" spans="2:18" ht="15" customHeight="1">
      <c r="B29" s="3"/>
      <c r="C29" s="182"/>
      <c r="D29" s="182"/>
      <c r="E29" s="3"/>
      <c r="F29" s="3"/>
      <c r="H29" s="3"/>
      <c r="I29" s="3"/>
      <c r="J29" s="3"/>
      <c r="K29" s="3"/>
      <c r="L29" s="3"/>
      <c r="M29" s="3"/>
      <c r="N29" s="3"/>
      <c r="O29" s="3"/>
      <c r="P29" s="3"/>
      <c r="Q29" s="3"/>
      <c r="R29" s="3"/>
    </row>
    <row r="30" spans="2:18" ht="15" customHeight="1">
      <c r="B30" s="3"/>
      <c r="C30" s="182"/>
      <c r="D30" s="182"/>
      <c r="E30" s="3"/>
      <c r="F30" s="3"/>
      <c r="H30" s="3"/>
      <c r="I30" s="3"/>
      <c r="J30" s="3"/>
      <c r="K30" s="3"/>
      <c r="L30" s="3"/>
      <c r="M30" s="3"/>
      <c r="N30" s="3"/>
      <c r="O30" s="3"/>
      <c r="P30" s="3"/>
      <c r="Q30" s="171" t="s">
        <v>986</v>
      </c>
      <c r="R30" s="3"/>
    </row>
    <row r="31" spans="2:18" ht="15" customHeight="1" thickBot="1">
      <c r="B31" s="3"/>
      <c r="C31" s="182"/>
      <c r="D31" s="182"/>
      <c r="E31" s="3"/>
      <c r="F31" s="14"/>
      <c r="H31" s="3"/>
      <c r="I31" s="3"/>
      <c r="J31" s="3"/>
      <c r="K31" s="3"/>
      <c r="L31" s="3"/>
      <c r="M31" s="3"/>
      <c r="N31" s="3"/>
      <c r="O31" s="3"/>
      <c r="P31" s="3"/>
      <c r="Q31" s="171"/>
      <c r="R31" s="3"/>
    </row>
    <row r="32" spans="2:18" ht="15" customHeight="1">
      <c r="B32" s="3"/>
      <c r="C32" s="166"/>
      <c r="D32" s="167"/>
      <c r="E32" s="3"/>
      <c r="F32" s="14"/>
      <c r="H32" s="3"/>
      <c r="I32" s="3"/>
      <c r="J32" s="3"/>
      <c r="K32" s="3"/>
      <c r="L32" s="3"/>
      <c r="M32" s="3"/>
      <c r="N32" s="3"/>
      <c r="O32" s="3"/>
      <c r="P32" s="3"/>
      <c r="Q32" s="3"/>
      <c r="R32" s="3"/>
    </row>
    <row r="33" spans="2:18" ht="15" customHeight="1" thickBot="1">
      <c r="B33" s="3"/>
      <c r="C33" s="168"/>
      <c r="D33" s="169"/>
      <c r="E33" s="3"/>
      <c r="F33" s="14"/>
      <c r="H33" s="3"/>
      <c r="I33" s="3"/>
      <c r="J33" s="3"/>
      <c r="K33" s="3"/>
      <c r="L33" s="3"/>
      <c r="M33" s="3"/>
      <c r="N33" s="3"/>
      <c r="O33" s="3"/>
      <c r="P33" s="3"/>
      <c r="Q33" s="3"/>
      <c r="R33" s="3"/>
    </row>
    <row r="34" spans="2:18" ht="15" customHeight="1">
      <c r="B34" s="3"/>
      <c r="C34" s="170" t="str">
        <f ca="1">Badge!$I$6</f>
        <v/>
      </c>
      <c r="D34" s="170"/>
      <c r="E34" s="3"/>
      <c r="F34" s="3"/>
      <c r="H34" s="3"/>
      <c r="I34" s="3"/>
      <c r="J34" s="3"/>
      <c r="K34" s="3"/>
      <c r="L34" s="3"/>
      <c r="M34" s="3"/>
      <c r="N34" s="3"/>
      <c r="O34" s="3"/>
      <c r="P34" s="3"/>
      <c r="Q34" s="3"/>
      <c r="R34" s="3"/>
    </row>
    <row r="35" spans="2:18" ht="15" customHeight="1">
      <c r="B35" s="3"/>
      <c r="C35" s="150"/>
      <c r="D35" s="150"/>
      <c r="E35" s="3"/>
      <c r="F35" s="3"/>
      <c r="H35" s="3"/>
      <c r="I35" s="3"/>
      <c r="J35" s="3"/>
      <c r="K35" s="3"/>
      <c r="L35" s="3"/>
      <c r="M35" s="3"/>
      <c r="N35" s="3"/>
      <c r="O35" s="3"/>
      <c r="P35" s="3"/>
      <c r="Q35" s="3"/>
      <c r="R35" s="3"/>
    </row>
    <row r="36" spans="2:18" ht="18.75" customHeight="1">
      <c r="B36" s="3"/>
      <c r="C36" s="3"/>
      <c r="D36" s="3"/>
      <c r="E36" s="3"/>
      <c r="F36" s="3"/>
      <c r="H36" s="3"/>
      <c r="I36" s="3"/>
      <c r="J36" s="3"/>
      <c r="K36" s="3"/>
      <c r="L36" s="3"/>
      <c r="M36" s="3"/>
      <c r="N36" s="3"/>
      <c r="O36" s="3"/>
      <c r="P36" s="3"/>
      <c r="Q36" s="3"/>
      <c r="R36" s="3"/>
    </row>
    <row r="37" spans="2:18" ht="18.75" customHeight="1">
      <c r="O37" s="3"/>
      <c r="P37" s="3"/>
      <c r="Q37" s="3"/>
    </row>
  </sheetData>
  <mergeCells count="10">
    <mergeCell ref="C32:D33"/>
    <mergeCell ref="C34:D35"/>
    <mergeCell ref="Q30:Q31"/>
    <mergeCell ref="D22:E25"/>
    <mergeCell ref="B2:F2"/>
    <mergeCell ref="B3:F5"/>
    <mergeCell ref="B7:D8"/>
    <mergeCell ref="C11:D17"/>
    <mergeCell ref="C29:D31"/>
    <mergeCell ref="H2:N2"/>
  </mergeCells>
  <dataValidations count="1">
    <dataValidation type="list" allowBlank="1" showInputMessage="1" showErrorMessage="1" sqref="C32:D33" xr:uid="{3F572FCA-73F4-4164-B5BA-618808661001}">
      <formula1>"1000,2000,3000,4000,5000,6000"</formula1>
    </dataValidation>
  </dataValidation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74EDD394-191A-46AE-8010-B4B05CD3CF2B}">
            <xm:f>$C$34=Badge!$H$4</xm:f>
            <x14:dxf>
              <font>
                <color theme="4" tint="-0.499984740745262"/>
              </font>
              <fill>
                <patternFill>
                  <bgColor theme="4" tint="0.79998168889431442"/>
                </patternFill>
              </fill>
            </x14:dxf>
          </x14:cfRule>
          <x14:cfRule type="expression" priority="2" id="{24A7F5D4-A457-4071-B3C5-A8B25D6D86DB}">
            <xm:f>$C$34=Badge!$G$4</xm:f>
            <x14:dxf>
              <font>
                <color theme="8" tint="-0.499984740745262"/>
              </font>
              <fill>
                <patternFill>
                  <bgColor theme="8" tint="0.79998168889431442"/>
                </patternFill>
              </fill>
            </x14:dxf>
          </x14:cfRule>
          <xm:sqref>C34:C35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82E2622-9685-4FBC-86C7-581BAD3B4C71}">
          <x14:formula1>
            <xm:f>'Backend P6'!$T$3:$T$6</xm:f>
          </x14:formula1>
          <xm:sqref>B7:D8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est3 xmlns="8978a658-3d11-4a81-97af-d5b56c1fb361" xsi:nil="true"/>
    <Notes_x0020_ xmlns="8978a658-3d11-4a81-97af-d5b56c1fb361" xsi:nil="true"/>
    <Test2 xmlns="8978a658-3d11-4a81-97af-d5b56c1fb361">true</Test2>
    <Details xmlns="8978a658-3d11-4a81-97af-d5b56c1fb361" xsi:nil="true"/>
    <dptest xmlns="8978a658-3d11-4a81-97af-d5b56c1fb361" xsi:nil="true"/>
    <Choice xmlns="8978a658-3d11-4a81-97af-d5b56c1fb361">false</Choice>
    <Sythesized_x0020_into_x0020_writeup_x003f_ xmlns="8978a658-3d11-4a81-97af-d5b56c1fb361">true</Sythesized_x0020_into_x0020_writeup_x003f_>
    <MediaServiceKeyPoints xmlns="8978a658-3d11-4a81-97af-d5b56c1fb361" xsi:nil="true"/>
    <_ip_UnifiedCompliancePolicyProperties xmlns="http://schemas.microsoft.com/sharepoint/v3" xsi:nil="true"/>
    <test0 xmlns="8978a658-3d11-4a81-97af-d5b56c1fb361">true</test0>
    <QFE xmlns="8978a658-3d11-4a81-97af-d5b56c1fb361">true</QFE>
    <Test xmlns="8978a658-3d11-4a81-97af-d5b56c1fb361">
      <UserInfo>
        <DisplayName/>
        <AccountId xsi:nil="true"/>
        <AccountType/>
      </UserInfo>
    </Test>
    <lcf76f155ced4ddcb4097134ff3c332f xmlns="8978a658-3d11-4a81-97af-d5b56c1fb361">
      <Terms xmlns="http://schemas.microsoft.com/office/infopath/2007/PartnerControls"/>
    </lcf76f155ced4ddcb4097134ff3c332f>
    <Industry xmlns="8978a658-3d11-4a81-97af-d5b56c1fb361" xsi:nil="true"/>
    <Segment xmlns="8978a658-3d11-4a81-97af-d5b56c1fb361" xsi:nil="true"/>
    <Comment xmlns="8978a658-3d11-4a81-97af-d5b56c1fb36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E9A87F33DDDF47B4034F7640DF5146" ma:contentTypeVersion="46" ma:contentTypeDescription="Create a new document." ma:contentTypeScope="" ma:versionID="7bdc0c808ff8eaad8fdcdee3a4d51c84">
  <xsd:schema xmlns:xsd="http://www.w3.org/2001/XMLSchema" xmlns:xs="http://www.w3.org/2001/XMLSchema" xmlns:p="http://schemas.microsoft.com/office/2006/metadata/properties" xmlns:ns1="http://schemas.microsoft.com/sharepoint/v3" xmlns:ns2="8978a658-3d11-4a81-97af-d5b56c1fb361" xmlns:ns3="2e7b7dd0-ff9e-4fdf-9289-16a7cf533cc2" targetNamespace="http://schemas.microsoft.com/office/2006/metadata/properties" ma:root="true" ma:fieldsID="4741e605d6ec3bab21d9e628b08cb5c5" ns1:_="" ns2:_="" ns3:_="">
    <xsd:import namespace="http://schemas.microsoft.com/sharepoint/v3"/>
    <xsd:import namespace="8978a658-3d11-4a81-97af-d5b56c1fb361"/>
    <xsd:import namespace="2e7b7dd0-ff9e-4fdf-9289-16a7cf533cc2"/>
    <xsd:element name="properties">
      <xsd:complexType>
        <xsd:sequence>
          <xsd:element name="documentManagement">
            <xsd:complexType>
              <xsd:all>
                <xsd:element ref="ns2:Notes_x0020_" minOccurs="0"/>
                <xsd:element ref="ns2:Sythesized_x0020_into_x0020_writeup_x003f_" minOccurs="0"/>
                <xsd:element ref="ns2:MediaServiceKeyPoints" minOccurs="0"/>
                <xsd:element ref="ns2:Details" minOccurs="0"/>
                <xsd:element ref="ns2:Industry" minOccurs="0"/>
                <xsd:element ref="ns2:Segment" minOccurs="0"/>
                <xsd:element ref="ns2:QFE" minOccurs="0"/>
                <xsd:element ref="ns2:test0" minOccurs="0"/>
                <xsd:element ref="ns2:Test" minOccurs="0"/>
                <xsd:element ref="ns2:Test2" minOccurs="0"/>
                <xsd:element ref="ns2:Test3" minOccurs="0"/>
                <xsd:element ref="ns2:dptest" minOccurs="0"/>
                <xsd:element ref="ns2:MediaServiceFastMetadata" minOccurs="0"/>
                <xsd:element ref="ns2:MediaServiceAutoTags" minOccurs="0"/>
                <xsd:element ref="ns2:MediaServiceDateTaken" minOccurs="0"/>
                <xsd:element ref="ns2:MediaServiceOCR" minOccurs="0"/>
                <xsd:element ref="ns2:MediaServiceLocation" minOccurs="0"/>
                <xsd:element ref="ns1:_ip_UnifiedCompliancePolicyUIAction" minOccurs="0"/>
                <xsd:element ref="ns3:LastSharedByUser" minOccurs="0"/>
                <xsd:element ref="ns3:LastSharedByTime" minOccurs="0"/>
                <xsd:element ref="ns2:Test3_x003a_Column4" minOccurs="0"/>
                <xsd:element ref="ns2:Test3_x003a_Column6" minOccurs="0"/>
                <xsd:element ref="ns2:Test3_x003a_Compliance_x0020_Asset_x0020_Id" minOccurs="0"/>
                <xsd:element ref="ns2:MediaServiceEventHashCode" minOccurs="0"/>
                <xsd:element ref="ns2:MediaServiceGenerationTime" minOccurs="0"/>
                <xsd:element ref="ns2:MediaServiceAutoKeyPoints" minOccurs="0"/>
                <xsd:element ref="ns2:MediaLengthInSeconds" minOccurs="0"/>
                <xsd:element ref="ns3:SharedWithUsers" minOccurs="0"/>
                <xsd:element ref="ns3:SharedWithDetails" minOccurs="0"/>
                <xsd:element ref="ns2:lcf76f155ced4ddcb4097134ff3c332f" minOccurs="0"/>
                <xsd:element ref="ns1:_ip_UnifiedCompliancePolicyProperties" minOccurs="0"/>
                <xsd:element ref="ns2:MediaServiceMetadata" minOccurs="0"/>
                <xsd:element ref="ns2:Choice" minOccurs="0"/>
                <xsd:element ref="ns2:MediaServiceSearchProperties" minOccurs="0"/>
                <xsd:element ref="ns2:MediaServiceDocTags" minOccurs="0"/>
                <xsd:element ref="ns2:MediaServiceObjectDetectorVersions" minOccurs="0"/>
                <xsd:element ref="ns2:MediaServiceSystemTag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UIAction" ma:index="20" nillable="true" ma:displayName="Unified Compliance Policy UI Action" ma:description="" ma:hidden="true" ma:internalName="_ip_UnifiedCompliancePolicyUIAction" ma:readOnly="false">
      <xsd:simpleType>
        <xsd:restriction base="dms:Text"/>
      </xsd:simpleType>
    </xsd:element>
    <xsd:element name="_ip_UnifiedCompliancePolicyProperties" ma:index="39" nillable="true" ma:displayName="Unified Compliance Policy Properties" ma:description="" ma:hidden="true" ma:internalName="_ip_UnifiedCompliancePolicyPropertie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78a658-3d11-4a81-97af-d5b56c1fb361" elementFormDefault="qualified">
    <xsd:import namespace="http://schemas.microsoft.com/office/2006/documentManagement/types"/>
    <xsd:import namespace="http://schemas.microsoft.com/office/infopath/2007/PartnerControls"/>
    <xsd:element name="Notes_x0020_" ma:index="2" nillable="true" ma:displayName="Notes " ma:format="Dropdown" ma:internalName="Notes_x0020_" ma:readOnly="false">
      <xsd:simpleType>
        <xsd:restriction base="dms:Note">
          <xsd:maxLength value="255"/>
        </xsd:restriction>
      </xsd:simpleType>
    </xsd:element>
    <xsd:element name="Sythesized_x0020_into_x0020_writeup_x003f_" ma:index="3" nillable="true" ma:displayName="Sythesized into writeup?" ma:default="1" ma:description="For John" ma:format="Dropdown" ma:internalName="Sythesized_x0020_into_x0020_writeup_x003f_" ma:readOnly="false">
      <xsd:simpleType>
        <xsd:restriction base="dms:Boolean"/>
      </xsd:simpleType>
    </xsd:element>
    <xsd:element name="MediaServiceKeyPoints" ma:index="4" nillable="true" ma:displayName="KeyPoints" ma:internalName="MediaServiceKeyPoints" ma:readOnly="false">
      <xsd:simpleType>
        <xsd:restriction base="dms:Note">
          <xsd:maxLength value="255"/>
        </xsd:restriction>
      </xsd:simpleType>
    </xsd:element>
    <xsd:element name="Details" ma:index="5" nillable="true" ma:displayName="Details" ma:format="Dropdown" ma:internalName="Details" ma:readOnly="false">
      <xsd:simpleType>
        <xsd:restriction base="dms:Note">
          <xsd:maxLength value="255"/>
        </xsd:restriction>
      </xsd:simpleType>
    </xsd:element>
    <xsd:element name="Industry" ma:index="6" nillable="true" ma:displayName="Industry" ma:internalName="Industry" ma:readOnly="false">
      <xsd:complexType>
        <xsd:complexContent>
          <xsd:extension base="dms:MultiChoiceFillIn">
            <xsd:sequence>
              <xsd:element name="Value" maxOccurs="unbounded" minOccurs="0" nillable="true">
                <xsd:simpleType>
                  <xsd:union memberTypes="dms:Text">
                    <xsd:simpleType>
                      <xsd:restriction base="dms:Choice">
                        <xsd:enumeration value="Accounting"/>
                        <xsd:enumeration value="Agriculture or Mining"/>
                        <xsd:enumeration value="Association or OtherNon- or Not-for-profit"/>
                        <xsd:enumeration value="Banking"/>
                        <xsd:enumeration value="Construction, Engineering, or Architecture"/>
                        <xsd:enumeration value="Consulting - IT Related"/>
                        <xsd:enumeration value="Consulting - Other"/>
                        <xsd:enumeration value="Digital Media"/>
                        <xsd:enumeration value="Education"/>
                        <xsd:enumeration value="Finance"/>
                        <xsd:enumeration value="Government"/>
                        <xsd:enumeration value="Healthcare (private sector) or Medical"/>
                        <xsd:enumeration value="Hospitality"/>
                        <xsd:enumeration value="Insurance"/>
                        <xsd:enumeration value="LegalServices"/>
                        <xsd:enumeration value="Manufacturing / Distribution"/>
                        <xsd:enumeration value="Market Research"/>
                        <xsd:enumeration value="Marketing, Advertising, PR"/>
                        <xsd:enumeration value="Other"/>
                        <xsd:enumeration value="Petroleum"/>
                        <xsd:enumeration value="Pharmaceuticals"/>
                        <xsd:enumeration value="Printing or Publishing"/>
                        <xsd:enumeration value="Real Estate"/>
                        <xsd:enumeration value="Research&amp; Development"/>
                        <xsd:enumeration value="Retail"/>
                        <xsd:enumeration value="Software Development"/>
                        <xsd:enumeration value="Technology"/>
                        <xsd:enumeration value="Telecommunications"/>
                        <xsd:enumeration value="Traditional Media"/>
                        <xsd:enumeration value="Transportation (Land, Sea, Air)"/>
                        <xsd:enumeration value="Travel &amp; Tourism"/>
                        <xsd:enumeration value="Utilities (Electric, Gas, etc.)"/>
                      </xsd:restriction>
                    </xsd:simpleType>
                  </xsd:union>
                </xsd:simpleType>
              </xsd:element>
            </xsd:sequence>
          </xsd:extension>
        </xsd:complexContent>
      </xsd:complexType>
    </xsd:element>
    <xsd:element name="Segment" ma:index="7" nillable="true" ma:displayName="Segment" ma:internalName="Segment" ma:readOnly="false">
      <xsd:complexType>
        <xsd:complexContent>
          <xsd:extension base="dms:MultiChoice">
            <xsd:sequence>
              <xsd:element name="Value" maxOccurs="unbounded" minOccurs="0" nillable="true">
                <xsd:simpleType>
                  <xsd:restriction base="dms:Choice">
                    <xsd:enumeration value="Full Stack Analyst"/>
                    <xsd:enumeration value="Unsettle Analyst"/>
                    <xsd:enumeration value="Steadfast Excel-er"/>
                    <xsd:enumeration value="&quot;Everyday&quot; Excel User"/>
                    <xsd:enumeration value="Information Gatherer"/>
                  </xsd:restriction>
                </xsd:simpleType>
              </xsd:element>
            </xsd:sequence>
          </xsd:extension>
        </xsd:complexContent>
      </xsd:complexType>
    </xsd:element>
    <xsd:element name="QFE" ma:index="8" nillable="true" ma:displayName="QFE" ma:default="1" ma:format="Dropdown" ma:internalName="QFE" ma:readOnly="false">
      <xsd:simpleType>
        <xsd:restriction base="dms:Boolean"/>
      </xsd:simpleType>
    </xsd:element>
    <xsd:element name="test0" ma:index="10" nillable="true" ma:displayName="test" ma:default="1" ma:format="Dropdown" ma:hidden="true" ma:internalName="test0" ma:readOnly="false">
      <xsd:simpleType>
        <xsd:restriction base="dms:Boolean"/>
      </xsd:simpleType>
    </xsd:element>
    <xsd:element name="Test" ma:index="11" nillable="true" ma:displayName="Test" ma:hidden="true" ma:list="UserInfo" ma:SharePointGroup="0" ma:internalName="Tes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st2" ma:index="12" nillable="true" ma:displayName="Test2" ma:default="1" ma:hidden="true" ma:internalName="Test2" ma:readOnly="false">
      <xsd:simpleType>
        <xsd:restriction base="dms:Boolean"/>
      </xsd:simpleType>
    </xsd:element>
    <xsd:element name="Test3" ma:index="13" nillable="true" ma:displayName="Test3" ma:hidden="true" ma:list="{56fe87cb-74e0-4ce0-8f5a-8a063749ebbe}" ma:internalName="Test3" ma:readOnly="false" ma:showField="Title">
      <xsd:simpleType>
        <xsd:restriction base="dms:Lookup"/>
      </xsd:simpleType>
    </xsd:element>
    <xsd:element name="dptest" ma:index="14" nillable="true" ma:displayName="dptest" ma:description="Doc Prop Test" ma:hidden="true" ma:internalName="dptest" ma:readOnly="false">
      <xsd:simpleType>
        <xsd:restriction base="dms:Text">
          <xsd:maxLength value="255"/>
        </xsd:restriction>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description="" ma:hidden="true" ma:internalName="MediaServiceAutoTags" ma:readOnly="true">
      <xsd:simpleType>
        <xsd:restriction base="dms:Text"/>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OCR" ma:index="18" nillable="true" ma:displayName="MediaServiceOCR" ma:description="" ma:hidden="true" ma:internalName="MediaServiceOCR" ma:readOnly="true">
      <xsd:simpleType>
        <xsd:restriction base="dms:Note"/>
      </xsd:simpleType>
    </xsd:element>
    <xsd:element name="MediaServiceLocation" ma:index="19" nillable="true" ma:displayName="MediaServiceLocation" ma:hidden="true" ma:internalName="MediaServiceLocation" ma:readOnly="true">
      <xsd:simpleType>
        <xsd:restriction base="dms:Text"/>
      </xsd:simpleType>
    </xsd:element>
    <xsd:element name="Test3_x003a_Column4" ma:index="23" nillable="true" ma:displayName="Test3:Column4" ma:hidden="true" ma:list="{56fe87cb-74e0-4ce0-8f5a-8a063749ebbe}" ma:internalName="Test3_x003a_Column4" ma:readOnly="true" ma:showField="Column4" ma:web="2e7b7dd0-ff9e-4fdf-9289-16a7cf533cc2">
      <xsd:simpleType>
        <xsd:restriction base="dms:Lookup"/>
      </xsd:simpleType>
    </xsd:element>
    <xsd:element name="Test3_x003a_Column6" ma:index="24" nillable="true" ma:displayName="Test3:Column6" ma:hidden="true" ma:list="{56fe87cb-74e0-4ce0-8f5a-8a063749ebbe}" ma:internalName="Test3_x003a_Column6" ma:readOnly="true" ma:showField="Column6" ma:web="2e7b7dd0-ff9e-4fdf-9289-16a7cf533cc2">
      <xsd:simpleType>
        <xsd:restriction base="dms:Lookup"/>
      </xsd:simpleType>
    </xsd:element>
    <xsd:element name="Test3_x003a_Compliance_x0020_Asset_x0020_Id" ma:index="25" nillable="true" ma:displayName="Test3:Compliance Asset Id" ma:hidden="true" ma:list="{56fe87cb-74e0-4ce0-8f5a-8a063749ebbe}" ma:internalName="Test3_x003a_Compliance_x0020_Asset_x0020_Id" ma:readOnly="true" ma:showField="ComplianceAssetId" ma:web="2e7b7dd0-ff9e-4fdf-9289-16a7cf533cc2">
      <xsd:simpleType>
        <xsd:restriction base="dms:Lookup"/>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LengthInSeconds" ma:index="35" nillable="true" ma:displayName="Length (seconds)" ma:hidden="true" ma:internalName="MediaLengthInSeconds" ma:readOnly="true">
      <xsd:simpleType>
        <xsd:restriction base="dms:Unknown"/>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Metadata" ma:index="40" nillable="true" ma:displayName="MediaServiceMetadata" ma:description="" ma:hidden="true" ma:internalName="MediaServiceMetadata" ma:readOnly="true">
      <xsd:simpleType>
        <xsd:restriction base="dms:Note"/>
      </xsd:simpleType>
    </xsd:element>
    <xsd:element name="Choice" ma:index="41" nillable="true" ma:displayName="Choice" ma:default="0" ma:format="Dropdown" ma:internalName="Choice">
      <xsd:simpleType>
        <xsd:restriction base="dms:Boolean"/>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ocTags" ma:index="43" nillable="true" ma:displayName="MediaServiceDocTags" ma:hidden="true" ma:internalName="MediaServiceDocTags" ma:readOnly="true">
      <xsd:simpleType>
        <xsd:restriction base="dms:Note"/>
      </xsd:simpleType>
    </xsd:element>
    <xsd:element name="MediaServiceObjectDetectorVersions" ma:index="44" nillable="true" ma:displayName="MediaServiceObjectDetectorVersions" ma:description="" ma:hidden="true" ma:indexed="true" ma:internalName="MediaServiceObjectDetectorVersions" ma:readOnly="true">
      <xsd:simpleType>
        <xsd:restriction base="dms:Text"/>
      </xsd:simpleType>
    </xsd:element>
    <xsd:element name="MediaServiceSystemTags" ma:index="45" nillable="true" ma:displayName="MediaServiceSystemTags" ma:hidden="true" ma:internalName="MediaServiceSystemTags" ma:readOnly="true">
      <xsd:simpleType>
        <xsd:restriction base="dms:Note"/>
      </xsd:simpleType>
    </xsd:element>
    <xsd:element name="Comment" ma:index="46"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7b7dd0-ff9e-4fdf-9289-16a7cf533cc2" elementFormDefault="qualified">
    <xsd:import namespace="http://schemas.microsoft.com/office/2006/documentManagement/types"/>
    <xsd:import namespace="http://schemas.microsoft.com/office/infopath/2007/PartnerControls"/>
    <xsd:element name="LastSharedByUser" ma:index="21" nillable="true" ma:displayName="Last Shared By User" ma:description="" ma:hidden="true" ma:internalName="LastSharedByUser" ma:readOnly="true">
      <xsd:simpleType>
        <xsd:restriction base="dms:Note"/>
      </xsd:simpleType>
    </xsd:element>
    <xsd:element name="LastSharedByTime" ma:index="22" nillable="true" ma:displayName="Last Shared By Time" ma:description="" ma:hidden="true" ma:internalName="LastSharedByTime" ma:readOnly="true">
      <xsd:simpleType>
        <xsd:restriction base="dms:DateTime"/>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936C64-CC46-4EFF-B3BD-D89516704751}"/>
</file>

<file path=customXml/itemProps2.xml><?xml version="1.0" encoding="utf-8"?>
<ds:datastoreItem xmlns:ds="http://schemas.openxmlformats.org/officeDocument/2006/customXml" ds:itemID="{02D8F6FA-F6F0-404D-8D1A-61752937B239}"/>
</file>

<file path=customXml/itemProps3.xml><?xml version="1.0" encoding="utf-8"?>
<ds:datastoreItem xmlns:ds="http://schemas.openxmlformats.org/officeDocument/2006/customXml" ds:itemID="{AEE11501-CDBB-4EAC-9A18-BCB565BFDA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Jeffrey Colman</dc:creator>
  <cp:keywords/>
  <dc:description/>
  <cp:lastModifiedBy/>
  <cp:revision/>
  <dcterms:created xsi:type="dcterms:W3CDTF">2020-09-25T06:56:37Z</dcterms:created>
  <dcterms:modified xsi:type="dcterms:W3CDTF">2025-02-03T01:56:12Z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etDate">
    <vt:lpwstr>2020-09-25T06:56:37Z</vt:lpwstr>
  </property>
  <property fmtid="{D5CDD505-2E9C-101B-9397-08002B2CF9AE}" pid="4" name="MSIP_Label_f42aa342-8706-4288-bd11-ebb85995028c_Method">
    <vt:lpwstr>Standard</vt:lpwstr>
  </property>
  <property fmtid="{D5CDD505-2E9C-101B-9397-08002B2CF9AE}" pid="5" name="MSIP_Label_f42aa342-8706-4288-bd11-ebb85995028c_Name">
    <vt:lpwstr>Internal</vt:lpwstr>
  </property>
  <property fmtid="{D5CDD505-2E9C-101B-9397-08002B2CF9AE}" pid="6" name="MSIP_Label_f42aa342-8706-4288-bd11-ebb85995028c_SiteId">
    <vt:lpwstr>72f988bf-86f1-41af-91ab-2d7cd011db47</vt:lpwstr>
  </property>
  <property fmtid="{D5CDD505-2E9C-101B-9397-08002B2CF9AE}" pid="7" name="MSIP_Label_f42aa342-8706-4288-bd11-ebb85995028c_ActionId">
    <vt:lpwstr>25585631-f018-404d-a9ed-cc78a3eecd50</vt:lpwstr>
  </property>
  <property fmtid="{D5CDD505-2E9C-101B-9397-08002B2CF9AE}" pid="8" name="MSIP_Label_f42aa342-8706-4288-bd11-ebb85995028c_ContentBits">
    <vt:lpwstr>0</vt:lpwstr>
  </property>
  <property fmtid="{D5CDD505-2E9C-101B-9397-08002B2CF9AE}" pid="9" name="ContentTypeId">
    <vt:lpwstr>0x01010018E9A87F33DDDF47B4034F7640DF5146</vt:lpwstr>
  </property>
  <property fmtid="{D5CDD505-2E9C-101B-9397-08002B2CF9AE}" pid="10" name="j1ddeb2b0f824d21b6864f26ba9a3bed">
    <vt:lpwstr/>
  </property>
  <property fmtid="{D5CDD505-2E9C-101B-9397-08002B2CF9AE}" pid="11" name="MediaServiceImageTags">
    <vt:lpwstr/>
  </property>
  <property fmtid="{D5CDD505-2E9C-101B-9397-08002B2CF9AE}" pid="12" name="Country">
    <vt:lpwstr/>
  </property>
  <property fmtid="{D5CDD505-2E9C-101B-9397-08002B2CF9AE}" pid="14" name="TaxCatchAll">
    <vt:lpwstr/>
  </property>
</Properties>
</file>