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drichvalue.xml" ContentType="application/vnd.ms-excel.rdrichvalue+xml"/>
  <Override PartName="/xl/richData/rdrichvaluestructure.xml" ContentType="application/vnd.ms-excel.rdrichvaluestructure+xml"/>
  <Override PartName="/xl/richData/richStyles.xml" ContentType="application/vnd.ms-excel.richstyles+xml"/>
  <Override PartName="/xl/richData/rdsupportingpropertybagstructure.xml" ContentType="application/vnd.ms-excel.rdsupportingpropertybagstructure+xml"/>
  <Override PartName="/xl/richData/rdsupportingpropertybag.xml" ContentType="application/vnd.ms-excel.rdsupportingpropertybag+xml"/>
  <Override PartName="/xl/richData/rdRichValueTypes.xml" ContentType="application/vnd.ms-excel.rdrichvaluetypes+xml"/>
  <Override PartName="/xl/tables/table1.xml" ContentType="application/vnd.openxmlformats-officedocument.spreadsheetml.table+xml"/>
  <Override PartName="/xl/queryTables/queryTable1.xml" ContentType="application/vnd.openxmlformats-officedocument.spreadsheetml.queryTable+xml"/>
  <Override PartName="/xl/tables/table2.xml" ContentType="application/vnd.openxmlformats-officedocument.spreadsheetml.table+xml"/>
  <Override PartName="/xl/queryTables/queryTable2.xml" ContentType="application/vnd.openxmlformats-officedocument.spreadsheetml.queryTable+xml"/>
  <Override PartName="/xl/tables/table3.xml" ContentType="application/vnd.openxmlformats-officedocument.spreadsheetml.table+xml"/>
  <Override PartName="/xl/queryTables/queryTable3.xml" ContentType="application/vnd.openxmlformats-officedocument.spreadsheetml.queryTable+xml"/>
  <Override PartName="/xl/tables/table4.xml" ContentType="application/vnd.openxmlformats-officedocument.spreadsheetml.table+xml"/>
  <Override PartName="/xl/queryTables/queryTable4.xml" ContentType="application/vnd.openxmlformats-officedocument.spreadsheetml.queryTable+xml"/>
  <Override PartName="/xl/tables/table5.xml" ContentType="application/vnd.openxmlformats-officedocument.spreadsheetml.table+xml"/>
  <Override PartName="/xl/tables/table6.xml" ContentType="application/vnd.openxmlformats-officedocument.spreadsheetml.table+xml"/>
  <Override PartName="/xl/tables/table7.xml" ContentType="application/vnd.openxmlformats-officedocument.spreadsheetml.table+xml"/>
  <Override PartName="/xl/tables/table8.xml" ContentType="application/vnd.openxmlformats-officedocument.spreadsheetml.table+xml"/>
  <Override PartName="/xl/tables/table9.xml" ContentType="application/vnd.openxmlformats-officedocument.spreadsheetml.table+xml"/>
  <Override PartName="/xl/tables/table10.xml" ContentType="application/vnd.openxmlformats-officedocument.spreadsheetml.table+xml"/>
  <Override PartName="/xl/tables/table11.xml" ContentType="application/vnd.openxmlformats-officedocument.spreadsheetml.table+xml"/>
  <Override PartName="/xl/tables/table12.xml" ContentType="application/vnd.openxmlformats-officedocument.spreadsheetml.table+xml"/>
  <Override PartName="/xl/tables/table13.xml" ContentType="application/vnd.openxmlformats-officedocument.spreadsheetml.table+xml"/>
  <Override PartName="/xl/drawings/drawing1.xml" ContentType="application/vnd.openxmlformats-officedocument.drawing+xml"/>
  <Override PartName="/xl/drawings/drawing2.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3.xml" ContentType="application/vnd.openxmlformats-officedocument.drawing+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drawings/drawing4.xml" ContentType="application/vnd.openxmlformats-officedocument.drawing+xml"/>
  <Override PartName="/xl/charts/chart6.xml" ContentType="application/vnd.openxmlformats-officedocument.drawingml.chart+xml"/>
  <Override PartName="/xl/drawings/drawing5.xml" ContentType="application/vnd.openxmlformats-officedocument.drawing+xml"/>
  <Override PartName="/xl/charts/chart7.xml" ContentType="application/vnd.openxmlformats-officedocument.drawingml.chart+xml"/>
  <Override PartName="/xl/charts/style5.xml" ContentType="application/vnd.ms-office.chartstyle+xml"/>
  <Override PartName="/xl/charts/colors5.xml" ContentType="application/vnd.ms-office.chartcolorstyle+xml"/>
  <Override PartName="/xl/drawings/drawing6.xml" ContentType="application/vnd.openxmlformats-officedocument.drawing+xml"/>
  <Override PartName="/xl/charts/chart8.xml" ContentType="application/vnd.openxmlformats-officedocument.drawingml.chart+xml"/>
  <Override PartName="/xl/charts/style6.xml" ContentType="application/vnd.ms-office.chartstyle+xml"/>
  <Override PartName="/xl/charts/colors6.xml" ContentType="application/vnd.ms-office.chartcolorstyle+xml"/>
  <Override PartName="/xl/charts/chart9.xml" ContentType="application/vnd.openxmlformats-officedocument.drawingml.chart+xml"/>
  <Override PartName="/xl/charts/style7.xml" ContentType="application/vnd.ms-office.chartstyle+xml"/>
  <Override PartName="/xl/charts/colors7.xml" ContentType="application/vnd.ms-office.chartcolorstyle+xml"/>
  <Override PartName="/xl/drawings/drawing7.xml" ContentType="application/vnd.openxmlformats-officedocument.drawing+xml"/>
  <Override PartName="/xl/charts/chart10.xml" ContentType="application/vnd.openxmlformats-officedocument.drawingml.chart+xml"/>
  <Override PartName="/xl/charts/style8.xml" ContentType="application/vnd.ms-office.chartstyle+xml"/>
  <Override PartName="/xl/charts/colors8.xml" ContentType="application/vnd.ms-office.chartcolorstyle+xml"/>
  <Override PartName="/xl/drawings/drawing8.xml" ContentType="application/vnd.openxmlformats-officedocument.drawing+xml"/>
  <Override PartName="/xl/charts/chart11.xml" ContentType="application/vnd.openxmlformats-officedocument.drawingml.chart+xml"/>
  <Override PartName="/xl/charts/style9.xml" ContentType="application/vnd.ms-office.chartstyle+xml"/>
  <Override PartName="/xl/charts/colors9.xml" ContentType="application/vnd.ms-office.chartcolorstyle+xml"/>
  <Override PartName="/xl/charts/chart12.xml" ContentType="application/vnd.openxmlformats-officedocument.drawingml.chart+xml"/>
  <Override PartName="/xl/charts/style10.xml" ContentType="application/vnd.ms-office.chartstyle+xml"/>
  <Override PartName="/xl/charts/colors10.xml" ContentType="application/vnd.ms-office.chartcolorstyle+xml"/>
  <Override PartName="/xl/charts/chart13.xml" ContentType="application/vnd.openxmlformats-officedocument.drawingml.chart+xml"/>
  <Override PartName="/xl/charts/style11.xml" ContentType="application/vnd.ms-office.chartstyle+xml"/>
  <Override PartName="/xl/charts/colors11.xml" ContentType="application/vnd.ms-office.chartcolorstyle+xml"/>
  <Override PartName="/xl/drawings/drawing9.xml" ContentType="application/vnd.openxmlformats-officedocument.drawing+xml"/>
  <Override PartName="/xl/tables/table14.xml" ContentType="application/vnd.openxmlformats-officedocument.spreadsheetml.table+xml"/>
  <Override PartName="/xl/charts/chart14.xml" ContentType="application/vnd.openxmlformats-officedocument.drawingml.chart+xml"/>
  <Override PartName="/xl/charts/style12.xml" ContentType="application/vnd.ms-office.chartstyle+xml"/>
  <Override PartName="/xl/charts/colors12.xml" ContentType="application/vnd.ms-office.chartcolorstyle+xml"/>
  <Override PartName="/xl/charts/chart15.xml" ContentType="application/vnd.openxmlformats-officedocument.drawingml.chart+xml"/>
  <Override PartName="/xl/charts/style13.xml" ContentType="application/vnd.ms-office.chartstyle+xml"/>
  <Override PartName="/xl/charts/colors13.xml" ContentType="application/vnd.ms-office.chartcolorstyle+xml"/>
  <Override PartName="/xl/drawings/drawing10.xml" ContentType="application/vnd.openxmlformats-officedocument.drawing+xml"/>
  <Override PartName="/xl/charts/chart16.xml" ContentType="application/vnd.openxmlformats-officedocument.drawingml.chart+xml"/>
  <Override PartName="/xl/charts/style14.xml" ContentType="application/vnd.ms-office.chartstyle+xml"/>
  <Override PartName="/xl/charts/colors14.xml" ContentType="application/vnd.ms-office.chartcolorstyle+xml"/>
  <Override PartName="/xl/drawings/drawing11.xml" ContentType="application/vnd.openxmlformats-officedocument.drawing+xml"/>
  <Override PartName="/xl/tables/table15.xml" ContentType="application/vnd.openxmlformats-officedocument.spreadsheetml.table+xml"/>
  <Override PartName="/xl/tables/table16.xml" ContentType="application/vnd.openxmlformats-officedocument.spreadsheetml.table+xml"/>
  <Override PartName="/xl/tables/table17.xml" ContentType="application/vnd.openxmlformats-officedocument.spreadsheetml.table+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Metadata/LabelInfo.xml" ContentType="application/vnd.ms-office.classificationlabel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5" Type="http://schemas.microsoft.com/office/2020/02/relationships/classificationlabels" Target="docMetadata/LabelInfo.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528"/>
  <workbookPr codeName="ThisWorkbook"/>
  <mc:AlternateContent xmlns:mc="http://schemas.openxmlformats.org/markup-compatibility/2006">
    <mc:Choice Requires="x15">
      <x15ac:absPath xmlns:x15ac="http://schemas.microsoft.com/office/spreadsheetml/2010/11/ac" url="C:\Users\shagrim\Downloads\"/>
    </mc:Choice>
  </mc:AlternateContent>
  <xr:revisionPtr revIDLastSave="0" documentId="8_{F31F8FA0-2B47-41BD-B005-9177FE812EC4}" xr6:coauthVersionLast="47" xr6:coauthVersionMax="47" xr10:uidLastSave="{00000000-0000-0000-0000-000000000000}"/>
  <bookViews>
    <workbookView xWindow="-28920" yWindow="6165" windowWidth="29040" windowHeight="16440" firstSheet="12" activeTab="12" xr2:uid="{F73DC34D-8A3B-422B-8FF0-C13F299FC80B}"/>
  </bookViews>
  <sheets>
    <sheet name="Animals" sheetId="72" state="hidden" r:id="rId1"/>
    <sheet name="Taxonomy" sheetId="71" state="hidden" r:id="rId2"/>
    <sheet name="JPod" sheetId="20" state="hidden" r:id="rId3"/>
    <sheet name="Locations" sheetId="73" state="hidden" r:id="rId4"/>
    <sheet name="Source_Locations" sheetId="70" state="hidden" r:id="rId5"/>
    <sheet name="Source_Animals" sheetId="68" state="hidden" r:id="rId6"/>
    <sheet name="Source_Jpod" sheetId="19" state="hidden" r:id="rId7"/>
    <sheet name="Source_Taxonomy" sheetId="69" state="hidden" r:id="rId8"/>
    <sheet name="Backend P0" sheetId="52" state="hidden" r:id="rId9"/>
    <sheet name="Backend P1" sheetId="56" state="hidden" r:id="rId10"/>
    <sheet name="Backend_P2" sheetId="18" state="hidden" r:id="rId11"/>
    <sheet name="Backend_P3" sheetId="33" state="hidden" r:id="rId12"/>
    <sheet name="Introduction" sheetId="3" r:id="rId13"/>
    <sheet name="Instructions" sheetId="67" r:id="rId14"/>
    <sheet name="Did you know..." sheetId="51" r:id="rId15"/>
    <sheet name="1. Introducing J pod" sheetId="60" r:id="rId16"/>
    <sheet name="2. Activity - Orca family" sheetId="58" r:id="rId17"/>
    <sheet name="3. Learning orca taxonomy" sheetId="63" r:id="rId18"/>
    <sheet name="4. Activity - Orca taxonomy" sheetId="41" r:id="rId19"/>
    <sheet name="5.Finding J Pod" sheetId="64" r:id="rId20"/>
    <sheet name="6.Activity - Sighting locations" sheetId="40" r:id="rId21"/>
    <sheet name="Certificate" sheetId="54" r:id="rId22"/>
    <sheet name="Student Journal" sheetId="12" r:id="rId23"/>
    <sheet name="Backend_Badge" sheetId="57" state="hidden" r:id="rId24"/>
    <sheet name="Lesson Plan" sheetId="10" r:id="rId25"/>
  </sheets>
  <definedNames>
    <definedName name="DYN_Sel1">'Did you know...'!$D$7</definedName>
    <definedName name="DYN_Sel2">'Did you know...'!$L$7</definedName>
    <definedName name="DYN_Sel3">'Did you know...'!$D$21</definedName>
    <definedName name="DYN_Sel4">'Did you know...'!$L$21</definedName>
    <definedName name="ExternalData_1" localSheetId="0" hidden="1">Animals!$A$1:$A$13</definedName>
    <definedName name="ExternalData_1" localSheetId="2" hidden="1">JPod!$A$1:$A$63</definedName>
    <definedName name="ExternalData_1" localSheetId="3" hidden="1">Locations!$A$1:$A$9</definedName>
    <definedName name="ExternalData_1" localSheetId="1" hidden="1">Taxonomy!$A$1:$A$47</definedName>
    <definedName name="NavCell_P0_1">Introduction!$A$1</definedName>
    <definedName name="NavCell_P0_2">Instructions!$A$1</definedName>
    <definedName name="NavCell_P0_3">'Did you know...'!$A$1</definedName>
    <definedName name="NavCell_P0_4">Certificate!$A$1</definedName>
    <definedName name="NavCell_P0_5">'Student Journal'!$A$1</definedName>
    <definedName name="NavCell_P1">'1. Introducing J pod'!$A$1</definedName>
    <definedName name="NavCell_P2">'2. Activity - Orca family'!$A$1</definedName>
    <definedName name="NavCell_P3">'3. Learning orca taxonomy'!$A$1</definedName>
    <definedName name="NavCell_P4">'4. Activity - Orca taxonomy'!$A$1</definedName>
    <definedName name="NavCell_P5">'5.Finding J Pod'!$A$1</definedName>
    <definedName name="NavCell_P6">'6.Activity - Sighting locations'!$A$1</definedName>
    <definedName name="P1_Q1">'2. Activity - Orca family'!$E$17</definedName>
    <definedName name="P1_Q2">'2. Activity - Orca family'!$M$21</definedName>
    <definedName name="P1_Q3">'2. Activity - Orca family'!$V$17</definedName>
    <definedName name="P1_Q4">'2. Activity - Orca family'!$V$25</definedName>
    <definedName name="P1_Q5">'2. Activity - Orca family'!$V$31</definedName>
    <definedName name="P2_Q1">'4. Activity - Orca taxonomy'!$AB$21</definedName>
    <definedName name="P2_Q2">'4. Activity - Orca taxonomy'!$X$27</definedName>
    <definedName name="P2_Q3">'4. Activity - Orca taxonomy'!$S$33</definedName>
    <definedName name="P2_Q4">'4. Activity - Orca taxonomy'!$O$39</definedName>
    <definedName name="P2_Q5">'4. Activity - Orca taxonomy'!$K$45</definedName>
    <definedName name="P2_Q6">'4. Activity - Orca taxonomy'!$I$51</definedName>
    <definedName name="P2_Q7">'4. Activity - Orca taxonomy'!$I$63</definedName>
    <definedName name="P3_Q1">Backend_P3!$B$10</definedName>
    <definedName name="P3_Q2">Backend_P3!$B$11</definedName>
    <definedName name="Reflection_P1">'2. Activity - Orca family'!$D$38</definedName>
    <definedName name="Reflection_P2">'4. Activity - Orca taxonomy'!$D$73</definedName>
    <definedName name="Reflection_P3">'6.Activity - Sighting locations'!$D$27</definedName>
    <definedName name="Sel_P1_1">'1. Introducing J pod'!$D$16</definedName>
    <definedName name="Sel_P1_2">'1. Introducing J pod'!$D$24</definedName>
    <definedName name="Sel_P3_1">'3. Learning orca taxonomy'!$D$16</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I3" i="33" l="1"/>
  <c r="I4" i="33"/>
  <c r="I5" i="33"/>
  <c r="I6" i="33"/>
  <c r="I7" i="33"/>
  <c r="E14" i="41" a="1"/>
  <c r="E14" i="41" s="1"/>
  <c r="E62" i="41" a="1"/>
  <c r="E62" i="41" s="1"/>
  <c r="E50" i="41" a="1"/>
  <c r="E50" i="41" s="1"/>
  <c r="E44" i="41" a="1"/>
  <c r="E44" i="41" s="1"/>
  <c r="E38" i="41" a="1"/>
  <c r="E38" i="41" s="1"/>
  <c r="E32" i="41" a="1"/>
  <c r="E32" i="41" s="1"/>
  <c r="E26" i="41" a="1"/>
  <c r="E26" i="41" s="1"/>
  <c r="E20" i="41" a="1"/>
  <c r="E20" i="41" s="1"/>
  <c r="D39" i="41" a="1"/>
  <c r="D39" i="41" s="1"/>
  <c r="D63" i="41" a="1"/>
  <c r="D63" i="41" s="1"/>
  <c r="D51" i="41" a="1"/>
  <c r="D51" i="41" s="1"/>
  <c r="D45" i="41" a="1"/>
  <c r="D45" i="41" s="1"/>
  <c r="D33" i="41" a="1"/>
  <c r="D33" i="41" s="1"/>
  <c r="D27" i="41" a="1"/>
  <c r="D27" i="41" s="1"/>
  <c r="D21" i="41" a="1"/>
  <c r="D21" i="41" s="1"/>
  <c r="D15" i="41" a="1"/>
  <c r="D15" i="41" s="1"/>
  <c r="Q14" i="18"/>
  <c r="Q13" i="18"/>
  <c r="Q12" i="18"/>
  <c r="Q11" i="18"/>
  <c r="Q10" i="18"/>
  <c r="Q9" i="18"/>
  <c r="Q8" i="18"/>
  <c r="Q7" i="18"/>
  <c r="Q6" i="18"/>
  <c r="Q5" i="18"/>
  <c r="Q4" i="18"/>
  <c r="D20" i="63" a="1"/>
  <c r="D20" i="63" s="1"/>
  <c r="N16" i="63"/>
  <c r="L16" i="63"/>
  <c r="J16" i="63"/>
  <c r="T11" i="57" l="1"/>
  <c r="D36" i="67"/>
  <c r="D28" i="67"/>
  <c r="J6" i="57"/>
  <c r="J8" i="57" s="1"/>
  <c r="J10" i="57" s="1"/>
  <c r="J5" i="57"/>
  <c r="J7" i="57" s="1"/>
  <c r="C3" i="57" a="1"/>
  <c r="C3" i="57" s="1"/>
  <c r="C4" i="57" a="1"/>
  <c r="C4" i="57" s="1"/>
  <c r="C5" i="57" a="1"/>
  <c r="C5" i="57" s="1"/>
  <c r="C6" i="57" a="1"/>
  <c r="C6" i="57" s="1"/>
  <c r="C7" i="57" a="1"/>
  <c r="C7" i="57" s="1"/>
  <c r="C8" i="57" a="1"/>
  <c r="C8" i="57" s="1"/>
  <c r="C9" i="57" a="1"/>
  <c r="C9" i="57" s="1"/>
  <c r="C10" i="57" a="1"/>
  <c r="C10" i="57" s="1"/>
  <c r="C11" i="57" a="1"/>
  <c r="C11" i="57" s="1"/>
  <c r="C12" i="57" a="1"/>
  <c r="C12" i="57" s="1"/>
  <c r="C13" i="57" a="1"/>
  <c r="C13" i="57" s="1"/>
  <c r="C14" i="57" a="1"/>
  <c r="C14" i="57" s="1"/>
  <c r="C15" i="57" a="1"/>
  <c r="C15" i="57" s="1"/>
  <c r="C16" i="57" a="1"/>
  <c r="C16" i="57" s="1"/>
  <c r="C17" i="57" a="1"/>
  <c r="C17" i="57" s="1"/>
  <c r="C18" i="57" a="1"/>
  <c r="C18" i="57" s="1"/>
  <c r="C19" i="57" a="1"/>
  <c r="C19" i="57" s="1"/>
  <c r="C20" i="12"/>
  <c r="C29" i="12"/>
  <c r="E9" i="64" a="1"/>
  <c r="E9" i="64" s="1"/>
  <c r="G11" i="18" a="1"/>
  <c r="G11" i="18" s="1"/>
  <c r="G10" i="18" a="1"/>
  <c r="G10" i="18" s="1"/>
  <c r="G9" i="18" a="1"/>
  <c r="G9" i="18" s="1"/>
  <c r="G8" i="18" a="1"/>
  <c r="G8" i="18" s="1"/>
  <c r="G7" i="18" a="1"/>
  <c r="G7" i="18" s="1"/>
  <c r="G6" i="18" a="1"/>
  <c r="G6" i="18" s="1"/>
  <c r="G5" i="18" a="1"/>
  <c r="G5" i="18" s="1"/>
  <c r="G16" i="60" a="1"/>
  <c r="G16" i="60" s="1"/>
  <c r="H16" i="60" a="1"/>
  <c r="H16" i="60" s="1"/>
  <c r="C11" i="56" s="1"/>
  <c r="F16" i="60" a="1"/>
  <c r="F16" i="60" s="1"/>
  <c r="J17" i="64" a="1"/>
  <c r="J17" i="64" s="1"/>
  <c r="G17" i="64" a="1"/>
  <c r="G17" i="64" s="1"/>
  <c r="E17" i="64" a="1"/>
  <c r="E17" i="64" s="1"/>
  <c r="E17" i="63" a="1"/>
  <c r="E17" i="63" s="1"/>
  <c r="E16" i="63" s="1"/>
  <c r="F17" i="63" a="1"/>
  <c r="F17" i="63" s="1"/>
  <c r="F16" i="63" s="1"/>
  <c r="M17" i="63" a="1"/>
  <c r="M17" i="63" s="1"/>
  <c r="M16" i="63" s="1"/>
  <c r="K17" i="63" a="1"/>
  <c r="K17" i="63" s="1"/>
  <c r="K16" i="63" s="1"/>
  <c r="I17" i="63" a="1"/>
  <c r="I17" i="63" s="1"/>
  <c r="I16" i="63" s="1"/>
  <c r="H17" i="63" a="1"/>
  <c r="H17" i="63" s="1"/>
  <c r="H16" i="63" s="1"/>
  <c r="G17" i="63" a="1"/>
  <c r="G17" i="63" s="1"/>
  <c r="G16" i="63" s="1"/>
  <c r="I27" i="60" a="1"/>
  <c r="I27" i="60" s="1"/>
  <c r="H27" i="60" a="1"/>
  <c r="H27" i="60" s="1"/>
  <c r="F24" i="60" a="1"/>
  <c r="F24" i="60" s="1"/>
  <c r="H24" i="60" a="1"/>
  <c r="H24" i="60" s="1"/>
  <c r="G24" i="60" a="1"/>
  <c r="G24" i="60" s="1"/>
  <c r="F27" i="60" a="1"/>
  <c r="F27" i="60" s="1"/>
  <c r="E27" i="60" a="1"/>
  <c r="E27" i="60" s="1"/>
  <c r="G27" i="60" a="1"/>
  <c r="G27" i="60" s="1"/>
  <c r="D27" i="60" a="1"/>
  <c r="D27" i="60" s="1"/>
  <c r="J24" i="60" a="1"/>
  <c r="J24" i="60" s="1"/>
  <c r="I24" i="60" a="1"/>
  <c r="I24" i="60" s="1"/>
  <c r="E24" i="60" a="1"/>
  <c r="E24" i="60" s="1"/>
  <c r="G14" i="56"/>
  <c r="G13" i="56"/>
  <c r="G12" i="56"/>
  <c r="G11" i="56"/>
  <c r="J16" i="60" a="1"/>
  <c r="J16" i="60" s="1"/>
  <c r="I16" i="60" a="1"/>
  <c r="I16" i="60" s="1"/>
  <c r="E16" i="60" a="1"/>
  <c r="E16" i="60" s="1"/>
  <c r="AA10" i="58" a="1"/>
  <c r="AA10" i="58" s="1"/>
  <c r="Z10" i="58" a="1"/>
  <c r="Z10" i="58" s="1"/>
  <c r="X10" i="58" a="1"/>
  <c r="X10" i="58" s="1"/>
  <c r="V32" i="58" a="1"/>
  <c r="V32" i="58" s="1"/>
  <c r="AA31" i="58" a="1"/>
  <c r="AA31" i="58" s="1"/>
  <c r="Z31" i="58" a="1"/>
  <c r="Z31" i="58" s="1"/>
  <c r="X31" i="58" a="1"/>
  <c r="X31" i="58" s="1"/>
  <c r="M22" i="58" a="1"/>
  <c r="M22" i="58" s="1"/>
  <c r="P21" i="58" a="1"/>
  <c r="P21" i="58" s="1"/>
  <c r="O21" i="58" a="1"/>
  <c r="O21" i="58" s="1"/>
  <c r="N21" i="58" a="1"/>
  <c r="N21" i="58" s="1"/>
  <c r="V26" i="58" a="1"/>
  <c r="V26" i="58" s="1"/>
  <c r="E18" i="58" a="1"/>
  <c r="E18" i="58" s="1"/>
  <c r="AA25" i="58" a="1"/>
  <c r="AA25" i="58" s="1"/>
  <c r="Z25" i="58" a="1"/>
  <c r="Z25" i="58" s="1"/>
  <c r="X25" i="58" a="1"/>
  <c r="X25" i="58" s="1"/>
  <c r="H17" i="58" a="1"/>
  <c r="H17" i="58" s="1"/>
  <c r="G17" i="58" a="1"/>
  <c r="G17" i="58" s="1"/>
  <c r="F17" i="58" a="1"/>
  <c r="F17" i="58" s="1"/>
  <c r="V18" i="58" a="1"/>
  <c r="V18" i="58" s="1"/>
  <c r="AA17" i="58" a="1"/>
  <c r="AA17" i="58" s="1"/>
  <c r="Z17" i="58" a="1"/>
  <c r="Z17" i="58" s="1"/>
  <c r="X17" i="58" a="1"/>
  <c r="X17" i="58" s="1"/>
  <c r="C11" i="12"/>
  <c r="D9" i="40"/>
  <c r="I2" i="19"/>
  <c r="I3" i="19"/>
  <c r="I4" i="19"/>
  <c r="I5" i="19"/>
  <c r="I6" i="19"/>
  <c r="I7" i="19"/>
  <c r="I8" i="19"/>
  <c r="I9" i="19"/>
  <c r="I10" i="19"/>
  <c r="I11" i="19"/>
  <c r="I12" i="19"/>
  <c r="I13" i="19"/>
  <c r="I14" i="19"/>
  <c r="I15" i="19"/>
  <c r="I16" i="19"/>
  <c r="I17" i="19"/>
  <c r="I18" i="19"/>
  <c r="I19" i="19"/>
  <c r="I20" i="19"/>
  <c r="I21" i="19"/>
  <c r="I22" i="19"/>
  <c r="I23" i="19"/>
  <c r="I24" i="19"/>
  <c r="I25" i="19"/>
  <c r="I26" i="19"/>
  <c r="I27" i="19"/>
  <c r="I28" i="19"/>
  <c r="I29" i="19"/>
  <c r="I30" i="19"/>
  <c r="I31" i="19"/>
  <c r="I32" i="19"/>
  <c r="I33" i="19"/>
  <c r="I34" i="19"/>
  <c r="I35" i="19"/>
  <c r="I36" i="19"/>
  <c r="I37" i="19"/>
  <c r="I38" i="19"/>
  <c r="I39" i="19"/>
  <c r="I40" i="19"/>
  <c r="I41" i="19"/>
  <c r="I42" i="19"/>
  <c r="I43" i="19"/>
  <c r="I44" i="19"/>
  <c r="I45" i="19"/>
  <c r="I46" i="19"/>
  <c r="I47" i="19"/>
  <c r="I48" i="19"/>
  <c r="I49" i="19"/>
  <c r="I50" i="19"/>
  <c r="I51" i="19"/>
  <c r="I52" i="19"/>
  <c r="I53" i="19"/>
  <c r="I54" i="19"/>
  <c r="I55" i="19"/>
  <c r="I56" i="19"/>
  <c r="I57" i="19"/>
  <c r="I58" i="19"/>
  <c r="I59" i="19"/>
  <c r="I60" i="19"/>
  <c r="I61" i="19"/>
  <c r="I62" i="19"/>
  <c r="I63" i="19"/>
  <c r="D2" i="19"/>
  <c r="J2" i="19"/>
  <c r="K2" i="19" s="1" a="1"/>
  <c r="K2" i="19" s="1"/>
  <c r="D60" i="19"/>
  <c r="D63" i="19"/>
  <c r="D61" i="19"/>
  <c r="D62" i="19"/>
  <c r="D3" i="19"/>
  <c r="D4" i="19"/>
  <c r="D5" i="19"/>
  <c r="D6" i="19"/>
  <c r="D7" i="19"/>
  <c r="D8" i="19"/>
  <c r="D9" i="19"/>
  <c r="D10" i="19"/>
  <c r="D11" i="19"/>
  <c r="D12" i="19"/>
  <c r="D13" i="19"/>
  <c r="D14" i="19"/>
  <c r="D15" i="19"/>
  <c r="D16" i="19"/>
  <c r="D17" i="19"/>
  <c r="D18" i="19"/>
  <c r="D19" i="19"/>
  <c r="D20" i="19"/>
  <c r="D21" i="19"/>
  <c r="D22" i="19"/>
  <c r="D23" i="19"/>
  <c r="D24" i="19"/>
  <c r="D25" i="19"/>
  <c r="D26" i="19"/>
  <c r="D27" i="19"/>
  <c r="D28" i="19"/>
  <c r="D29" i="19"/>
  <c r="D30" i="19"/>
  <c r="D31" i="19"/>
  <c r="D32" i="19"/>
  <c r="D33" i="19"/>
  <c r="D34" i="19"/>
  <c r="D35" i="19"/>
  <c r="D36" i="19"/>
  <c r="D37" i="19"/>
  <c r="D38" i="19"/>
  <c r="D39" i="19"/>
  <c r="D40" i="19"/>
  <c r="D41" i="19"/>
  <c r="D42" i="19"/>
  <c r="D43" i="19"/>
  <c r="D44" i="19"/>
  <c r="D45" i="19"/>
  <c r="D46" i="19"/>
  <c r="D47" i="19"/>
  <c r="D48" i="19"/>
  <c r="D49" i="19"/>
  <c r="D50" i="19"/>
  <c r="D51" i="19"/>
  <c r="D52" i="19"/>
  <c r="D53" i="19"/>
  <c r="D54" i="19"/>
  <c r="D55" i="19"/>
  <c r="D56" i="19"/>
  <c r="D57" i="19"/>
  <c r="D58" i="19"/>
  <c r="D59" i="19"/>
  <c r="J17" i="19"/>
  <c r="K17" i="19" s="1" a="1"/>
  <c r="K17" i="19" s="1"/>
  <c r="J60" i="19"/>
  <c r="K60" i="19" s="1" a="1"/>
  <c r="K60" i="19" s="1"/>
  <c r="J63" i="19"/>
  <c r="K63" i="19" s="1" a="1"/>
  <c r="K63" i="19" s="1"/>
  <c r="J61" i="19"/>
  <c r="K61" i="19" s="1" a="1"/>
  <c r="K61" i="19" s="1"/>
  <c r="J62" i="19"/>
  <c r="K62" i="19" s="1" a="1"/>
  <c r="K62" i="19" s="1"/>
  <c r="J3" i="19"/>
  <c r="K3" i="19" s="1" a="1"/>
  <c r="K3" i="19" s="1"/>
  <c r="J4" i="19"/>
  <c r="K4" i="19" s="1" a="1"/>
  <c r="K4" i="19" s="1"/>
  <c r="J5" i="19"/>
  <c r="K5" i="19" s="1" a="1"/>
  <c r="K5" i="19" s="1"/>
  <c r="J6" i="19"/>
  <c r="K6" i="19" s="1" a="1"/>
  <c r="K6" i="19" s="1"/>
  <c r="J7" i="19"/>
  <c r="K7" i="19" s="1" a="1"/>
  <c r="K7" i="19" s="1"/>
  <c r="J8" i="19"/>
  <c r="K8" i="19" s="1" a="1"/>
  <c r="K8" i="19" s="1"/>
  <c r="J9" i="19"/>
  <c r="K9" i="19" s="1" a="1"/>
  <c r="K9" i="19" s="1"/>
  <c r="J10" i="19"/>
  <c r="K10" i="19" s="1" a="1"/>
  <c r="K10" i="19" s="1"/>
  <c r="J11" i="19"/>
  <c r="K11" i="19" s="1" a="1"/>
  <c r="K11" i="19" s="1"/>
  <c r="J12" i="19"/>
  <c r="K12" i="19" s="1" a="1"/>
  <c r="K12" i="19" s="1"/>
  <c r="J13" i="19"/>
  <c r="K13" i="19" s="1" a="1"/>
  <c r="K13" i="19" s="1"/>
  <c r="J14" i="19"/>
  <c r="K14" i="19" s="1" a="1"/>
  <c r="K14" i="19" s="1"/>
  <c r="J15" i="19"/>
  <c r="K15" i="19" s="1" a="1"/>
  <c r="K15" i="19" s="1"/>
  <c r="J16" i="19"/>
  <c r="K16" i="19" s="1" a="1"/>
  <c r="K16" i="19" s="1"/>
  <c r="J18" i="19"/>
  <c r="K18" i="19" s="1" a="1"/>
  <c r="K18" i="19" s="1"/>
  <c r="J19" i="19"/>
  <c r="K19" i="19" s="1" a="1"/>
  <c r="K19" i="19" s="1"/>
  <c r="J20" i="19"/>
  <c r="K20" i="19" s="1" a="1"/>
  <c r="K20" i="19" s="1"/>
  <c r="J21" i="19"/>
  <c r="K21" i="19" s="1" a="1"/>
  <c r="K21" i="19" s="1"/>
  <c r="J22" i="19"/>
  <c r="K22" i="19" s="1" a="1"/>
  <c r="K22" i="19" s="1"/>
  <c r="J23" i="19"/>
  <c r="K23" i="19" s="1" a="1"/>
  <c r="K23" i="19" s="1"/>
  <c r="J24" i="19"/>
  <c r="K24" i="19" s="1" a="1"/>
  <c r="K24" i="19" s="1"/>
  <c r="J25" i="19"/>
  <c r="K25" i="19" s="1" a="1"/>
  <c r="K25" i="19" s="1"/>
  <c r="J26" i="19"/>
  <c r="K26" i="19" s="1" a="1"/>
  <c r="K26" i="19" s="1"/>
  <c r="J27" i="19"/>
  <c r="K27" i="19" s="1" a="1"/>
  <c r="K27" i="19" s="1"/>
  <c r="J28" i="19"/>
  <c r="K28" i="19" s="1" a="1"/>
  <c r="K28" i="19" s="1"/>
  <c r="J29" i="19"/>
  <c r="K29" i="19" s="1" a="1"/>
  <c r="K29" i="19" s="1"/>
  <c r="J30" i="19"/>
  <c r="K30" i="19" s="1" a="1"/>
  <c r="K30" i="19" s="1"/>
  <c r="J31" i="19"/>
  <c r="K31" i="19" s="1" a="1"/>
  <c r="K31" i="19" s="1"/>
  <c r="J32" i="19"/>
  <c r="K32" i="19" s="1" a="1"/>
  <c r="K32" i="19" s="1"/>
  <c r="J33" i="19"/>
  <c r="K33" i="19" s="1" a="1"/>
  <c r="K33" i="19" s="1"/>
  <c r="J34" i="19"/>
  <c r="K34" i="19" s="1" a="1"/>
  <c r="K34" i="19" s="1"/>
  <c r="J35" i="19"/>
  <c r="K35" i="19" s="1" a="1"/>
  <c r="K35" i="19" s="1"/>
  <c r="J36" i="19"/>
  <c r="K36" i="19" s="1" a="1"/>
  <c r="K36" i="19" s="1"/>
  <c r="J37" i="19"/>
  <c r="K37" i="19" s="1" a="1"/>
  <c r="K37" i="19" s="1"/>
  <c r="J38" i="19"/>
  <c r="K38" i="19" s="1" a="1"/>
  <c r="K38" i="19" s="1"/>
  <c r="J39" i="19"/>
  <c r="K39" i="19" s="1" a="1"/>
  <c r="K39" i="19" s="1"/>
  <c r="J40" i="19"/>
  <c r="K40" i="19" s="1" a="1"/>
  <c r="K40" i="19" s="1"/>
  <c r="J41" i="19"/>
  <c r="K41" i="19" s="1" a="1"/>
  <c r="K41" i="19" s="1"/>
  <c r="J42" i="19"/>
  <c r="K42" i="19" s="1" a="1"/>
  <c r="K42" i="19" s="1"/>
  <c r="J43" i="19"/>
  <c r="K43" i="19" s="1" a="1"/>
  <c r="K43" i="19" s="1"/>
  <c r="J44" i="19"/>
  <c r="K44" i="19" s="1" a="1"/>
  <c r="K44" i="19" s="1"/>
  <c r="J45" i="19"/>
  <c r="K45" i="19" s="1" a="1"/>
  <c r="K45" i="19" s="1"/>
  <c r="J46" i="19"/>
  <c r="K46" i="19" s="1" a="1"/>
  <c r="K46" i="19" s="1"/>
  <c r="J47" i="19"/>
  <c r="K47" i="19" s="1" a="1"/>
  <c r="K47" i="19" s="1"/>
  <c r="J48" i="19"/>
  <c r="K48" i="19" s="1" a="1"/>
  <c r="K48" i="19" s="1"/>
  <c r="J49" i="19"/>
  <c r="K49" i="19" s="1" a="1"/>
  <c r="K49" i="19" s="1"/>
  <c r="J50" i="19"/>
  <c r="K50" i="19" s="1" a="1"/>
  <c r="K50" i="19" s="1"/>
  <c r="J51" i="19"/>
  <c r="K51" i="19" s="1" a="1"/>
  <c r="K51" i="19" s="1"/>
  <c r="J52" i="19"/>
  <c r="K52" i="19" s="1" a="1"/>
  <c r="K52" i="19" s="1"/>
  <c r="J53" i="19"/>
  <c r="K53" i="19" s="1" a="1"/>
  <c r="K53" i="19" s="1"/>
  <c r="J54" i="19"/>
  <c r="K54" i="19" s="1" a="1"/>
  <c r="K54" i="19" s="1"/>
  <c r="J55" i="19"/>
  <c r="K55" i="19" s="1" a="1"/>
  <c r="K55" i="19" s="1"/>
  <c r="J56" i="19"/>
  <c r="K56" i="19" s="1" a="1"/>
  <c r="K56" i="19" s="1"/>
  <c r="J57" i="19"/>
  <c r="K57" i="19" s="1" a="1"/>
  <c r="K57" i="19" s="1"/>
  <c r="J58" i="19"/>
  <c r="K58" i="19" s="1" a="1"/>
  <c r="K58" i="19" s="1"/>
  <c r="J59" i="19"/>
  <c r="K59" i="19" s="1" a="1"/>
  <c r="K59" i="19" s="1"/>
  <c r="F11" i="18"/>
  <c r="F10" i="18"/>
  <c r="F9" i="18"/>
  <c r="F8" i="18"/>
  <c r="F7" i="18"/>
  <c r="F6" i="18"/>
  <c r="F5" i="18"/>
  <c r="I3" i="57"/>
  <c r="K3" i="57" s="1"/>
  <c r="I4" i="57"/>
  <c r="K4" i="57" s="1"/>
  <c r="E10" i="57" a="1"/>
  <c r="E8" i="57" a="1"/>
  <c r="E5" i="57" a="1"/>
  <c r="E6" i="57" a="1"/>
  <c r="E13" i="57" a="1"/>
  <c r="G3" i="52" a="1"/>
  <c r="E11" i="57" a="1"/>
  <c r="G4" i="52" a="1"/>
  <c r="E4" i="57" a="1"/>
  <c r="E14" i="57" a="1"/>
  <c r="E9" i="57" a="1"/>
  <c r="G5" i="52" a="1"/>
  <c r="G6" i="52" a="1"/>
  <c r="E3" i="57" a="1"/>
  <c r="E16" i="57" a="1"/>
  <c r="E12" i="57" a="1"/>
  <c r="E7" i="57" a="1"/>
  <c r="E19" i="57" a="1"/>
  <c r="E15" i="57" a="1"/>
  <c r="AB10" i="58" l="1"/>
  <c r="B11" i="33"/>
  <c r="B10" i="33"/>
  <c r="I11" i="18"/>
  <c r="F15" i="57" s="1"/>
  <c r="I9" i="18"/>
  <c r="F13" i="57" s="1"/>
  <c r="AB31" i="58"/>
  <c r="Q21" i="58"/>
  <c r="I17" i="58"/>
  <c r="J11" i="18"/>
  <c r="I64" i="41" s="1"/>
  <c r="I8" i="18"/>
  <c r="I6" i="18"/>
  <c r="F10" i="57" s="1"/>
  <c r="J13" i="56" a="1"/>
  <c r="J13" i="56" s="1"/>
  <c r="AB25" i="58"/>
  <c r="AB17" i="58"/>
  <c r="I7" i="57"/>
  <c r="K7" i="57" s="1"/>
  <c r="J9" i="57"/>
  <c r="I9" i="57" s="1"/>
  <c r="K9" i="57" s="1"/>
  <c r="I10" i="57"/>
  <c r="K10" i="57" s="1"/>
  <c r="J12" i="57"/>
  <c r="J10" i="56"/>
  <c r="I7" i="18"/>
  <c r="F11" i="57" s="1"/>
  <c r="I10" i="18"/>
  <c r="F14" i="57" s="1"/>
  <c r="J12" i="56" a="1"/>
  <c r="J12" i="56" s="1"/>
  <c r="I5" i="18"/>
  <c r="F9" i="57" s="1"/>
  <c r="I6" i="57"/>
  <c r="K6" i="57" s="1"/>
  <c r="E11" i="57"/>
  <c r="E4" i="57"/>
  <c r="F4" i="57" s="1" a="1"/>
  <c r="F4" i="57" s="1"/>
  <c r="E7" i="57"/>
  <c r="F7" i="57" s="1" a="1"/>
  <c r="F7" i="57" s="1"/>
  <c r="E16" i="57"/>
  <c r="F16" i="57" s="1"/>
  <c r="E8" i="57"/>
  <c r="F8" i="57" s="1"/>
  <c r="G3" i="52"/>
  <c r="G4" i="52"/>
  <c r="E10" i="57"/>
  <c r="E9" i="57"/>
  <c r="E6" i="57"/>
  <c r="F6" i="57" s="1" a="1"/>
  <c r="F6" i="57" s="1"/>
  <c r="E15" i="57"/>
  <c r="E13" i="57"/>
  <c r="E3" i="57"/>
  <c r="F3" i="57" s="1" a="1"/>
  <c r="F3" i="57" s="1"/>
  <c r="E12" i="57"/>
  <c r="G5" i="52"/>
  <c r="E14" i="57"/>
  <c r="G6" i="52"/>
  <c r="E5" i="57"/>
  <c r="F5" i="57" s="1" a="1"/>
  <c r="F5" i="57" s="1"/>
  <c r="E19" i="57"/>
  <c r="F19" i="57" s="1"/>
  <c r="J14" i="56" a="1"/>
  <c r="J14" i="56" s="1"/>
  <c r="J11" i="56" a="1"/>
  <c r="J11" i="56" s="1"/>
  <c r="I5" i="57"/>
  <c r="K5" i="57" s="1"/>
  <c r="I8" i="57"/>
  <c r="K8" i="57" s="1"/>
  <c r="E18" i="57" a="1"/>
  <c r="E17" i="57" a="1"/>
  <c r="J9" i="18" l="1"/>
  <c r="K46" i="41" s="1"/>
  <c r="E18" i="57"/>
  <c r="F18" i="57" s="1" a="1"/>
  <c r="F18" i="57" s="1"/>
  <c r="E17" i="57"/>
  <c r="F17" i="57" s="1" a="1"/>
  <c r="F17" i="57" s="1"/>
  <c r="J10" i="18"/>
  <c r="I52" i="41" s="1"/>
  <c r="F12" i="57"/>
  <c r="J8" i="18"/>
  <c r="O40" i="41" s="1"/>
  <c r="J7" i="18"/>
  <c r="S34" i="41" s="1"/>
  <c r="J6" i="18"/>
  <c r="X28" i="41" s="1"/>
  <c r="J5" i="18"/>
  <c r="AB22" i="41" s="1"/>
  <c r="J11" i="57"/>
  <c r="J13" i="57" s="1"/>
  <c r="J14" i="57"/>
  <c r="I12" i="57"/>
  <c r="K12" i="57" s="1"/>
  <c r="H6" i="52"/>
  <c r="I6" i="52"/>
  <c r="O6" i="52"/>
  <c r="L23" i="51" s="1"/>
  <c r="K6" i="52"/>
  <c r="J6" i="52"/>
  <c r="J4" i="52"/>
  <c r="O4" i="52"/>
  <c r="L9" i="51" s="1"/>
  <c r="I4" i="52"/>
  <c r="K4" i="52"/>
  <c r="H4" i="52"/>
  <c r="J5" i="52"/>
  <c r="K5" i="52"/>
  <c r="H5" i="52"/>
  <c r="I5" i="52"/>
  <c r="O5" i="52"/>
  <c r="D23" i="51" s="1"/>
  <c r="H3" i="52"/>
  <c r="K3" i="52"/>
  <c r="O3" i="52"/>
  <c r="D9" i="51" s="1"/>
  <c r="J3" i="52"/>
  <c r="I3" i="52"/>
  <c r="I11" i="57" l="1"/>
  <c r="K11" i="57" s="1"/>
  <c r="M7" i="57"/>
  <c r="N7" i="57" s="1"/>
  <c r="M11" i="57"/>
  <c r="M4" i="57"/>
  <c r="N4" i="57" s="1"/>
  <c r="M12" i="57"/>
  <c r="N12" i="57" s="1"/>
  <c r="M10" i="57"/>
  <c r="N10" i="57" s="1"/>
  <c r="M3" i="57"/>
  <c r="N3" i="57" s="1"/>
  <c r="M14" i="57"/>
  <c r="M6" i="57"/>
  <c r="N6" i="57" s="1"/>
  <c r="M5" i="57"/>
  <c r="N5" i="57" s="1"/>
  <c r="M9" i="57"/>
  <c r="N9" i="57" s="1"/>
  <c r="M8" i="57"/>
  <c r="N8" i="57" s="1"/>
  <c r="I14" i="57"/>
  <c r="K14" i="57" s="1"/>
  <c r="J16" i="57"/>
  <c r="M13" i="57"/>
  <c r="J15" i="57"/>
  <c r="I13" i="57"/>
  <c r="K13" i="57" s="1"/>
  <c r="N11" i="57" l="1"/>
  <c r="N14" i="57"/>
  <c r="I16" i="57"/>
  <c r="K16" i="57" s="1"/>
  <c r="J18" i="57"/>
  <c r="M16" i="57"/>
  <c r="I15" i="57"/>
  <c r="K15" i="57" s="1"/>
  <c r="J17" i="57"/>
  <c r="M15" i="57"/>
  <c r="N13" i="57"/>
  <c r="N16" i="57" l="1"/>
  <c r="I18" i="57"/>
  <c r="K18" i="57" s="1"/>
  <c r="J20" i="57"/>
  <c r="M18" i="57"/>
  <c r="N15" i="57"/>
  <c r="M17" i="57"/>
  <c r="J19" i="57"/>
  <c r="I17" i="57"/>
  <c r="K17" i="57" s="1"/>
  <c r="N18" i="57" l="1"/>
  <c r="I20" i="57"/>
  <c r="K20" i="57" s="1"/>
  <c r="J22" i="57"/>
  <c r="M20" i="57"/>
  <c r="M19" i="57"/>
  <c r="I19" i="57"/>
  <c r="K19" i="57" s="1"/>
  <c r="J21" i="57"/>
  <c r="N17" i="57"/>
  <c r="N20" i="57" l="1"/>
  <c r="M22" i="57"/>
  <c r="I22" i="57"/>
  <c r="K22" i="57" s="1"/>
  <c r="J24" i="57"/>
  <c r="M21" i="57"/>
  <c r="J23" i="57"/>
  <c r="I21" i="57"/>
  <c r="K21" i="57" s="1"/>
  <c r="N19" i="57"/>
  <c r="J26" i="57" l="1"/>
  <c r="M24" i="57"/>
  <c r="I24" i="57"/>
  <c r="K24" i="57" s="1"/>
  <c r="N22" i="57"/>
  <c r="J25" i="57"/>
  <c r="M23" i="57"/>
  <c r="I23" i="57"/>
  <c r="K23" i="57" s="1"/>
  <c r="N21" i="57"/>
  <c r="N24" i="57" l="1"/>
  <c r="J28" i="57"/>
  <c r="I26" i="57"/>
  <c r="K26" i="57" s="1"/>
  <c r="M26" i="57"/>
  <c r="J27" i="57"/>
  <c r="I25" i="57"/>
  <c r="K25" i="57" s="1"/>
  <c r="M25" i="57"/>
  <c r="N23" i="57"/>
  <c r="J30" i="57" l="1"/>
  <c r="M28" i="57"/>
  <c r="I28" i="57"/>
  <c r="K28" i="57" s="1"/>
  <c r="N26" i="57"/>
  <c r="M27" i="57"/>
  <c r="J29" i="57"/>
  <c r="I27" i="57"/>
  <c r="K27" i="57" s="1"/>
  <c r="N25" i="57"/>
  <c r="N28" i="57" l="1"/>
  <c r="M30" i="57"/>
  <c r="I30" i="57"/>
  <c r="K30" i="57" s="1"/>
  <c r="J32" i="57"/>
  <c r="J31" i="57"/>
  <c r="M29" i="57"/>
  <c r="I29" i="57"/>
  <c r="K29" i="57" s="1"/>
  <c r="N27" i="57"/>
  <c r="N30" i="57" l="1"/>
  <c r="I32" i="57"/>
  <c r="K32" i="57" s="1"/>
  <c r="J34" i="57"/>
  <c r="M32" i="57"/>
  <c r="N29" i="57"/>
  <c r="M31" i="57"/>
  <c r="J33" i="57"/>
  <c r="I31" i="57"/>
  <c r="K31" i="57" s="1"/>
  <c r="N32" i="57" l="1"/>
  <c r="M34" i="57"/>
  <c r="J36" i="57"/>
  <c r="I34" i="57"/>
  <c r="K34" i="57" s="1"/>
  <c r="J35" i="57"/>
  <c r="I33" i="57"/>
  <c r="K33" i="57" s="1"/>
  <c r="M33" i="57"/>
  <c r="N31" i="57"/>
  <c r="M36" i="57" l="1"/>
  <c r="I36" i="57"/>
  <c r="K36" i="57" s="1"/>
  <c r="N34" i="57"/>
  <c r="M35" i="57"/>
  <c r="I35" i="57"/>
  <c r="K35" i="57" s="1"/>
  <c r="N33" i="57"/>
  <c r="N36" i="57" l="1"/>
  <c r="N35" i="57"/>
  <c r="T9" i="57" l="1"/>
  <c r="T10" i="57" s="1"/>
  <c r="V10" i="57" l="1"/>
  <c r="V9" i="57"/>
  <c r="V7" i="57" a="1"/>
  <c r="V7" i="57" s="1"/>
  <c r="U10" i="57"/>
  <c r="D7" i="54" s="1"/>
  <c r="U9" i="57"/>
  <c r="D2" i="54" s="1"/>
</calcChain>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AEF0B432-19DE-4D35-BF3C-D8427D642675}" keepAlive="1" name="Query - Animals" description="Connection to the 'Animals' query in the workbook." type="5" refreshedVersion="7" background="1" saveData="1">
    <dbPr connection="Provider=Microsoft.Mashup.OleDb.1;Data Source=$Workbook$;Location=Animals;Extended Properties=&quot;&quot;" command="SELECT * FROM [Animals]"/>
  </connection>
  <connection id="2" xr16:uid="{00000000-0015-0000-FFFF-FFFF00000000}" keepAlive="1" name="Query - JPod" description="Connection to the 'JPod' query in the workbook." type="5" refreshedVersion="7" background="1" saveData="1">
    <dbPr connection="Provider=Microsoft.Mashup.OleDb.1;Data Source=$Workbook$;Location=JPod;Extended Properties=&quot;&quot;" command="SELECT * FROM [JPod]"/>
  </connection>
  <connection id="3" xr16:uid="{2065B9C4-75B8-4827-A69A-7B1162B42FED}" keepAlive="1" name="Query - Locations" description="Connection to the 'Locations' query in the workbook." type="5" refreshedVersion="7" background="1" saveData="1">
    <dbPr connection="Provider=Microsoft.Mashup.OleDb.1;Data Source=$Workbook$;Location=Locations;Extended Properties=&quot;&quot;" command="SELECT * FROM [Locations]"/>
  </connection>
  <connection id="4" xr16:uid="{0C20D7ED-BC31-4D99-87CD-AF6180C11F47}" keepAlive="1" name="Query - Taxonomy" description="Connection to the 'Taxonomy' query in the workbook." type="5" refreshedVersion="7" background="1" saveData="1">
    <dbPr connection="Provider=Microsoft.Mashup.OleDb.1;Data Source=$Workbook$;Location=Taxonomy;Extended Properties=&quot;&quot;" command="SELECT * FROM [Taxonomy]"/>
  </connection>
</connections>
</file>

<file path=xl/metadata.xml><?xml version="1.0" encoding="utf-8"?>
<metadata xmlns="http://schemas.openxmlformats.org/spreadsheetml/2006/main" xmlns:xlrd="http://schemas.microsoft.com/office/spreadsheetml/2017/richdata" xmlns:xda="http://schemas.microsoft.com/office/spreadsheetml/2017/dynamicarray">
  <metadataTypes count="2">
    <metadataType name="XLDAPR" minSupportedVersion="120000" copy="1" pasteAll="1" pasteValues="1" merge="1" splitFirst="1" rowColShift="1" clearFormats="1" clearComments="1" assign="1" coerce="1" cellMeta="1"/>
    <metadataType name="XLRICHVALUE" minSupportedVersion="120000" copy="1" pasteAll="1" pasteValues="1" merge="1" splitFirst="1" rowColShift="1" clearFormats="1" clearComments="1" assign="1" coerce="1"/>
  </metadataTypes>
  <futureMetadata name="XLDAPR" count="1">
    <bk>
      <extLst>
        <ext uri="{bdbb8cdc-fa1e-496e-a857-3c3f30c029c3}">
          <xda:dynamicArrayProperties fDynamic="1" fCollapsed="0"/>
        </ext>
      </extLst>
    </bk>
  </futureMetadata>
  <futureMetadata name="XLRICHVALUE" count="168">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bk>
      <extLst>
        <ext uri="{3e2802c4-a4d2-4d8b-9148-e3be6c30e623}">
          <xlrd:rvb i="13"/>
        </ext>
      </extLst>
    </bk>
    <bk>
      <extLst>
        <ext uri="{3e2802c4-a4d2-4d8b-9148-e3be6c30e623}">
          <xlrd:rvb i="14"/>
        </ext>
      </extLst>
    </bk>
    <bk>
      <extLst>
        <ext uri="{3e2802c4-a4d2-4d8b-9148-e3be6c30e623}">
          <xlrd:rvb i="15"/>
        </ext>
      </extLst>
    </bk>
    <bk>
      <extLst>
        <ext uri="{3e2802c4-a4d2-4d8b-9148-e3be6c30e623}">
          <xlrd:rvb i="16"/>
        </ext>
      </extLst>
    </bk>
    <bk>
      <extLst>
        <ext uri="{3e2802c4-a4d2-4d8b-9148-e3be6c30e623}">
          <xlrd:rvb i="17"/>
        </ext>
      </extLst>
    </bk>
    <bk>
      <extLst>
        <ext uri="{3e2802c4-a4d2-4d8b-9148-e3be6c30e623}">
          <xlrd:rvb i="18"/>
        </ext>
      </extLst>
    </bk>
    <bk>
      <extLst>
        <ext uri="{3e2802c4-a4d2-4d8b-9148-e3be6c30e623}">
          <xlrd:rvb i="19"/>
        </ext>
      </extLst>
    </bk>
    <bk>
      <extLst>
        <ext uri="{3e2802c4-a4d2-4d8b-9148-e3be6c30e623}">
          <xlrd:rvb i="20"/>
        </ext>
      </extLst>
    </bk>
    <bk>
      <extLst>
        <ext uri="{3e2802c4-a4d2-4d8b-9148-e3be6c30e623}">
          <xlrd:rvb i="21"/>
        </ext>
      </extLst>
    </bk>
    <bk>
      <extLst>
        <ext uri="{3e2802c4-a4d2-4d8b-9148-e3be6c30e623}">
          <xlrd:rvb i="22"/>
        </ext>
      </extLst>
    </bk>
    <bk>
      <extLst>
        <ext uri="{3e2802c4-a4d2-4d8b-9148-e3be6c30e623}">
          <xlrd:rvb i="23"/>
        </ext>
      </extLst>
    </bk>
    <bk>
      <extLst>
        <ext uri="{3e2802c4-a4d2-4d8b-9148-e3be6c30e623}">
          <xlrd:rvb i="24"/>
        </ext>
      </extLst>
    </bk>
    <bk>
      <extLst>
        <ext uri="{3e2802c4-a4d2-4d8b-9148-e3be6c30e623}">
          <xlrd:rvb i="25"/>
        </ext>
      </extLst>
    </bk>
    <bk>
      <extLst>
        <ext uri="{3e2802c4-a4d2-4d8b-9148-e3be6c30e623}">
          <xlrd:rvb i="26"/>
        </ext>
      </extLst>
    </bk>
    <bk>
      <extLst>
        <ext uri="{3e2802c4-a4d2-4d8b-9148-e3be6c30e623}">
          <xlrd:rvb i="27"/>
        </ext>
      </extLst>
    </bk>
    <bk>
      <extLst>
        <ext uri="{3e2802c4-a4d2-4d8b-9148-e3be6c30e623}">
          <xlrd:rvb i="28"/>
        </ext>
      </extLst>
    </bk>
    <bk>
      <extLst>
        <ext uri="{3e2802c4-a4d2-4d8b-9148-e3be6c30e623}">
          <xlrd:rvb i="29"/>
        </ext>
      </extLst>
    </bk>
    <bk>
      <extLst>
        <ext uri="{3e2802c4-a4d2-4d8b-9148-e3be6c30e623}">
          <xlrd:rvb i="30"/>
        </ext>
      </extLst>
    </bk>
    <bk>
      <extLst>
        <ext uri="{3e2802c4-a4d2-4d8b-9148-e3be6c30e623}">
          <xlrd:rvb i="31"/>
        </ext>
      </extLst>
    </bk>
    <bk>
      <extLst>
        <ext uri="{3e2802c4-a4d2-4d8b-9148-e3be6c30e623}">
          <xlrd:rvb i="32"/>
        </ext>
      </extLst>
    </bk>
    <bk>
      <extLst>
        <ext uri="{3e2802c4-a4d2-4d8b-9148-e3be6c30e623}">
          <xlrd:rvb i="33"/>
        </ext>
      </extLst>
    </bk>
    <bk>
      <extLst>
        <ext uri="{3e2802c4-a4d2-4d8b-9148-e3be6c30e623}">
          <xlrd:rvb i="34"/>
        </ext>
      </extLst>
    </bk>
    <bk>
      <extLst>
        <ext uri="{3e2802c4-a4d2-4d8b-9148-e3be6c30e623}">
          <xlrd:rvb i="35"/>
        </ext>
      </extLst>
    </bk>
    <bk>
      <extLst>
        <ext uri="{3e2802c4-a4d2-4d8b-9148-e3be6c30e623}">
          <xlrd:rvb i="36"/>
        </ext>
      </extLst>
    </bk>
    <bk>
      <extLst>
        <ext uri="{3e2802c4-a4d2-4d8b-9148-e3be6c30e623}">
          <xlrd:rvb i="37"/>
        </ext>
      </extLst>
    </bk>
    <bk>
      <extLst>
        <ext uri="{3e2802c4-a4d2-4d8b-9148-e3be6c30e623}">
          <xlrd:rvb i="38"/>
        </ext>
      </extLst>
    </bk>
    <bk>
      <extLst>
        <ext uri="{3e2802c4-a4d2-4d8b-9148-e3be6c30e623}">
          <xlrd:rvb i="39"/>
        </ext>
      </extLst>
    </bk>
    <bk>
      <extLst>
        <ext uri="{3e2802c4-a4d2-4d8b-9148-e3be6c30e623}">
          <xlrd:rvb i="40"/>
        </ext>
      </extLst>
    </bk>
    <bk>
      <extLst>
        <ext uri="{3e2802c4-a4d2-4d8b-9148-e3be6c30e623}">
          <xlrd:rvb i="41"/>
        </ext>
      </extLst>
    </bk>
    <bk>
      <extLst>
        <ext uri="{3e2802c4-a4d2-4d8b-9148-e3be6c30e623}">
          <xlrd:rvb i="42"/>
        </ext>
      </extLst>
    </bk>
    <bk>
      <extLst>
        <ext uri="{3e2802c4-a4d2-4d8b-9148-e3be6c30e623}">
          <xlrd:rvb i="43"/>
        </ext>
      </extLst>
    </bk>
    <bk>
      <extLst>
        <ext uri="{3e2802c4-a4d2-4d8b-9148-e3be6c30e623}">
          <xlrd:rvb i="44"/>
        </ext>
      </extLst>
    </bk>
    <bk>
      <extLst>
        <ext uri="{3e2802c4-a4d2-4d8b-9148-e3be6c30e623}">
          <xlrd:rvb i="45"/>
        </ext>
      </extLst>
    </bk>
    <bk>
      <extLst>
        <ext uri="{3e2802c4-a4d2-4d8b-9148-e3be6c30e623}">
          <xlrd:rvb i="46"/>
        </ext>
      </extLst>
    </bk>
    <bk>
      <extLst>
        <ext uri="{3e2802c4-a4d2-4d8b-9148-e3be6c30e623}">
          <xlrd:rvb i="47"/>
        </ext>
      </extLst>
    </bk>
    <bk>
      <extLst>
        <ext uri="{3e2802c4-a4d2-4d8b-9148-e3be6c30e623}">
          <xlrd:rvb i="48"/>
        </ext>
      </extLst>
    </bk>
    <bk>
      <extLst>
        <ext uri="{3e2802c4-a4d2-4d8b-9148-e3be6c30e623}">
          <xlrd:rvb i="49"/>
        </ext>
      </extLst>
    </bk>
    <bk>
      <extLst>
        <ext uri="{3e2802c4-a4d2-4d8b-9148-e3be6c30e623}">
          <xlrd:rvb i="50"/>
        </ext>
      </extLst>
    </bk>
    <bk>
      <extLst>
        <ext uri="{3e2802c4-a4d2-4d8b-9148-e3be6c30e623}">
          <xlrd:rvb i="51"/>
        </ext>
      </extLst>
    </bk>
    <bk>
      <extLst>
        <ext uri="{3e2802c4-a4d2-4d8b-9148-e3be6c30e623}">
          <xlrd:rvb i="52"/>
        </ext>
      </extLst>
    </bk>
    <bk>
      <extLst>
        <ext uri="{3e2802c4-a4d2-4d8b-9148-e3be6c30e623}">
          <xlrd:rvb i="53"/>
        </ext>
      </extLst>
    </bk>
    <bk>
      <extLst>
        <ext uri="{3e2802c4-a4d2-4d8b-9148-e3be6c30e623}">
          <xlrd:rvb i="54"/>
        </ext>
      </extLst>
    </bk>
    <bk>
      <extLst>
        <ext uri="{3e2802c4-a4d2-4d8b-9148-e3be6c30e623}">
          <xlrd:rvb i="55"/>
        </ext>
      </extLst>
    </bk>
    <bk>
      <extLst>
        <ext uri="{3e2802c4-a4d2-4d8b-9148-e3be6c30e623}">
          <xlrd:rvb i="56"/>
        </ext>
      </extLst>
    </bk>
    <bk>
      <extLst>
        <ext uri="{3e2802c4-a4d2-4d8b-9148-e3be6c30e623}">
          <xlrd:rvb i="57"/>
        </ext>
      </extLst>
    </bk>
    <bk>
      <extLst>
        <ext uri="{3e2802c4-a4d2-4d8b-9148-e3be6c30e623}">
          <xlrd:rvb i="58"/>
        </ext>
      </extLst>
    </bk>
    <bk>
      <extLst>
        <ext uri="{3e2802c4-a4d2-4d8b-9148-e3be6c30e623}">
          <xlrd:rvb i="59"/>
        </ext>
      </extLst>
    </bk>
    <bk>
      <extLst>
        <ext uri="{3e2802c4-a4d2-4d8b-9148-e3be6c30e623}">
          <xlrd:rvb i="60"/>
        </ext>
      </extLst>
    </bk>
    <bk>
      <extLst>
        <ext uri="{3e2802c4-a4d2-4d8b-9148-e3be6c30e623}">
          <xlrd:rvb i="61"/>
        </ext>
      </extLst>
    </bk>
    <bk>
      <extLst>
        <ext uri="{3e2802c4-a4d2-4d8b-9148-e3be6c30e623}">
          <xlrd:rvb i="62"/>
        </ext>
      </extLst>
    </bk>
    <bk>
      <extLst>
        <ext uri="{3e2802c4-a4d2-4d8b-9148-e3be6c30e623}">
          <xlrd:rvb i="63"/>
        </ext>
      </extLst>
    </bk>
    <bk>
      <extLst>
        <ext uri="{3e2802c4-a4d2-4d8b-9148-e3be6c30e623}">
          <xlrd:rvb i="64"/>
        </ext>
      </extLst>
    </bk>
    <bk>
      <extLst>
        <ext uri="{3e2802c4-a4d2-4d8b-9148-e3be6c30e623}">
          <xlrd:rvb i="65"/>
        </ext>
      </extLst>
    </bk>
    <bk>
      <extLst>
        <ext uri="{3e2802c4-a4d2-4d8b-9148-e3be6c30e623}">
          <xlrd:rvb i="66"/>
        </ext>
      </extLst>
    </bk>
    <bk>
      <extLst>
        <ext uri="{3e2802c4-a4d2-4d8b-9148-e3be6c30e623}">
          <xlrd:rvb i="67"/>
        </ext>
      </extLst>
    </bk>
    <bk>
      <extLst>
        <ext uri="{3e2802c4-a4d2-4d8b-9148-e3be6c30e623}">
          <xlrd:rvb i="68"/>
        </ext>
      </extLst>
    </bk>
    <bk>
      <extLst>
        <ext uri="{3e2802c4-a4d2-4d8b-9148-e3be6c30e623}">
          <xlrd:rvb i="69"/>
        </ext>
      </extLst>
    </bk>
    <bk>
      <extLst>
        <ext uri="{3e2802c4-a4d2-4d8b-9148-e3be6c30e623}">
          <xlrd:rvb i="70"/>
        </ext>
      </extLst>
    </bk>
    <bk>
      <extLst>
        <ext uri="{3e2802c4-a4d2-4d8b-9148-e3be6c30e623}">
          <xlrd:rvb i="71"/>
        </ext>
      </extLst>
    </bk>
    <bk>
      <extLst>
        <ext uri="{3e2802c4-a4d2-4d8b-9148-e3be6c30e623}">
          <xlrd:rvb i="72"/>
        </ext>
      </extLst>
    </bk>
    <bk>
      <extLst>
        <ext uri="{3e2802c4-a4d2-4d8b-9148-e3be6c30e623}">
          <xlrd:rvb i="73"/>
        </ext>
      </extLst>
    </bk>
    <bk>
      <extLst>
        <ext uri="{3e2802c4-a4d2-4d8b-9148-e3be6c30e623}">
          <xlrd:rvb i="74"/>
        </ext>
      </extLst>
    </bk>
    <bk>
      <extLst>
        <ext uri="{3e2802c4-a4d2-4d8b-9148-e3be6c30e623}">
          <xlrd:rvb i="75"/>
        </ext>
      </extLst>
    </bk>
    <bk>
      <extLst>
        <ext uri="{3e2802c4-a4d2-4d8b-9148-e3be6c30e623}">
          <xlrd:rvb i="76"/>
        </ext>
      </extLst>
    </bk>
    <bk>
      <extLst>
        <ext uri="{3e2802c4-a4d2-4d8b-9148-e3be6c30e623}">
          <xlrd:rvb i="77"/>
        </ext>
      </extLst>
    </bk>
    <bk>
      <extLst>
        <ext uri="{3e2802c4-a4d2-4d8b-9148-e3be6c30e623}">
          <xlrd:rvb i="78"/>
        </ext>
      </extLst>
    </bk>
    <bk>
      <extLst>
        <ext uri="{3e2802c4-a4d2-4d8b-9148-e3be6c30e623}">
          <xlrd:rvb i="79"/>
        </ext>
      </extLst>
    </bk>
    <bk>
      <extLst>
        <ext uri="{3e2802c4-a4d2-4d8b-9148-e3be6c30e623}">
          <xlrd:rvb i="80"/>
        </ext>
      </extLst>
    </bk>
    <bk>
      <extLst>
        <ext uri="{3e2802c4-a4d2-4d8b-9148-e3be6c30e623}">
          <xlrd:rvb i="81"/>
        </ext>
      </extLst>
    </bk>
    <bk>
      <extLst>
        <ext uri="{3e2802c4-a4d2-4d8b-9148-e3be6c30e623}">
          <xlrd:rvb i="82"/>
        </ext>
      </extLst>
    </bk>
    <bk>
      <extLst>
        <ext uri="{3e2802c4-a4d2-4d8b-9148-e3be6c30e623}">
          <xlrd:rvb i="83"/>
        </ext>
      </extLst>
    </bk>
    <bk>
      <extLst>
        <ext uri="{3e2802c4-a4d2-4d8b-9148-e3be6c30e623}">
          <xlrd:rvb i="84"/>
        </ext>
      </extLst>
    </bk>
    <bk>
      <extLst>
        <ext uri="{3e2802c4-a4d2-4d8b-9148-e3be6c30e623}">
          <xlrd:rvb i="85"/>
        </ext>
      </extLst>
    </bk>
    <bk>
      <extLst>
        <ext uri="{3e2802c4-a4d2-4d8b-9148-e3be6c30e623}">
          <xlrd:rvb i="86"/>
        </ext>
      </extLst>
    </bk>
    <bk>
      <extLst>
        <ext uri="{3e2802c4-a4d2-4d8b-9148-e3be6c30e623}">
          <xlrd:rvb i="87"/>
        </ext>
      </extLst>
    </bk>
    <bk>
      <extLst>
        <ext uri="{3e2802c4-a4d2-4d8b-9148-e3be6c30e623}">
          <xlrd:rvb i="88"/>
        </ext>
      </extLst>
    </bk>
    <bk>
      <extLst>
        <ext uri="{3e2802c4-a4d2-4d8b-9148-e3be6c30e623}">
          <xlrd:rvb i="89"/>
        </ext>
      </extLst>
    </bk>
    <bk>
      <extLst>
        <ext uri="{3e2802c4-a4d2-4d8b-9148-e3be6c30e623}">
          <xlrd:rvb i="90"/>
        </ext>
      </extLst>
    </bk>
    <bk>
      <extLst>
        <ext uri="{3e2802c4-a4d2-4d8b-9148-e3be6c30e623}">
          <xlrd:rvb i="91"/>
        </ext>
      </extLst>
    </bk>
    <bk>
      <extLst>
        <ext uri="{3e2802c4-a4d2-4d8b-9148-e3be6c30e623}">
          <xlrd:rvb i="92"/>
        </ext>
      </extLst>
    </bk>
    <bk>
      <extLst>
        <ext uri="{3e2802c4-a4d2-4d8b-9148-e3be6c30e623}">
          <xlrd:rvb i="93"/>
        </ext>
      </extLst>
    </bk>
    <bk>
      <extLst>
        <ext uri="{3e2802c4-a4d2-4d8b-9148-e3be6c30e623}">
          <xlrd:rvb i="94"/>
        </ext>
      </extLst>
    </bk>
    <bk>
      <extLst>
        <ext uri="{3e2802c4-a4d2-4d8b-9148-e3be6c30e623}">
          <xlrd:rvb i="95"/>
        </ext>
      </extLst>
    </bk>
    <bk>
      <extLst>
        <ext uri="{3e2802c4-a4d2-4d8b-9148-e3be6c30e623}">
          <xlrd:rvb i="96"/>
        </ext>
      </extLst>
    </bk>
    <bk>
      <extLst>
        <ext uri="{3e2802c4-a4d2-4d8b-9148-e3be6c30e623}">
          <xlrd:rvb i="97"/>
        </ext>
      </extLst>
    </bk>
    <bk>
      <extLst>
        <ext uri="{3e2802c4-a4d2-4d8b-9148-e3be6c30e623}">
          <xlrd:rvb i="98"/>
        </ext>
      </extLst>
    </bk>
    <bk>
      <extLst>
        <ext uri="{3e2802c4-a4d2-4d8b-9148-e3be6c30e623}">
          <xlrd:rvb i="99"/>
        </ext>
      </extLst>
    </bk>
    <bk>
      <extLst>
        <ext uri="{3e2802c4-a4d2-4d8b-9148-e3be6c30e623}">
          <xlrd:rvb i="100"/>
        </ext>
      </extLst>
    </bk>
    <bk>
      <extLst>
        <ext uri="{3e2802c4-a4d2-4d8b-9148-e3be6c30e623}">
          <xlrd:rvb i="101"/>
        </ext>
      </extLst>
    </bk>
    <bk>
      <extLst>
        <ext uri="{3e2802c4-a4d2-4d8b-9148-e3be6c30e623}">
          <xlrd:rvb i="102"/>
        </ext>
      </extLst>
    </bk>
    <bk>
      <extLst>
        <ext uri="{3e2802c4-a4d2-4d8b-9148-e3be6c30e623}">
          <xlrd:rvb i="103"/>
        </ext>
      </extLst>
    </bk>
    <bk>
      <extLst>
        <ext uri="{3e2802c4-a4d2-4d8b-9148-e3be6c30e623}">
          <xlrd:rvb i="104"/>
        </ext>
      </extLst>
    </bk>
    <bk>
      <extLst>
        <ext uri="{3e2802c4-a4d2-4d8b-9148-e3be6c30e623}">
          <xlrd:rvb i="105"/>
        </ext>
      </extLst>
    </bk>
    <bk>
      <extLst>
        <ext uri="{3e2802c4-a4d2-4d8b-9148-e3be6c30e623}">
          <xlrd:rvb i="106"/>
        </ext>
      </extLst>
    </bk>
    <bk>
      <extLst>
        <ext uri="{3e2802c4-a4d2-4d8b-9148-e3be6c30e623}">
          <xlrd:rvb i="107"/>
        </ext>
      </extLst>
    </bk>
    <bk>
      <extLst>
        <ext uri="{3e2802c4-a4d2-4d8b-9148-e3be6c30e623}">
          <xlrd:rvb i="108"/>
        </ext>
      </extLst>
    </bk>
    <bk>
      <extLst>
        <ext uri="{3e2802c4-a4d2-4d8b-9148-e3be6c30e623}">
          <xlrd:rvb i="109"/>
        </ext>
      </extLst>
    </bk>
    <bk>
      <extLst>
        <ext uri="{3e2802c4-a4d2-4d8b-9148-e3be6c30e623}">
          <xlrd:rvb i="110"/>
        </ext>
      </extLst>
    </bk>
    <bk>
      <extLst>
        <ext uri="{3e2802c4-a4d2-4d8b-9148-e3be6c30e623}">
          <xlrd:rvb i="111"/>
        </ext>
      </extLst>
    </bk>
    <bk>
      <extLst>
        <ext uri="{3e2802c4-a4d2-4d8b-9148-e3be6c30e623}">
          <xlrd:rvb i="112"/>
        </ext>
      </extLst>
    </bk>
    <bk>
      <extLst>
        <ext uri="{3e2802c4-a4d2-4d8b-9148-e3be6c30e623}">
          <xlrd:rvb i="113"/>
        </ext>
      </extLst>
    </bk>
    <bk>
      <extLst>
        <ext uri="{3e2802c4-a4d2-4d8b-9148-e3be6c30e623}">
          <xlrd:rvb i="114"/>
        </ext>
      </extLst>
    </bk>
    <bk>
      <extLst>
        <ext uri="{3e2802c4-a4d2-4d8b-9148-e3be6c30e623}">
          <xlrd:rvb i="115"/>
        </ext>
      </extLst>
    </bk>
    <bk>
      <extLst>
        <ext uri="{3e2802c4-a4d2-4d8b-9148-e3be6c30e623}">
          <xlrd:rvb i="116"/>
        </ext>
      </extLst>
    </bk>
    <bk>
      <extLst>
        <ext uri="{3e2802c4-a4d2-4d8b-9148-e3be6c30e623}">
          <xlrd:rvb i="117"/>
        </ext>
      </extLst>
    </bk>
    <bk>
      <extLst>
        <ext uri="{3e2802c4-a4d2-4d8b-9148-e3be6c30e623}">
          <xlrd:rvb i="118"/>
        </ext>
      </extLst>
    </bk>
    <bk>
      <extLst>
        <ext uri="{3e2802c4-a4d2-4d8b-9148-e3be6c30e623}">
          <xlrd:rvb i="119"/>
        </ext>
      </extLst>
    </bk>
    <bk>
      <extLst>
        <ext uri="{3e2802c4-a4d2-4d8b-9148-e3be6c30e623}">
          <xlrd:rvb i="120"/>
        </ext>
      </extLst>
    </bk>
    <bk>
      <extLst>
        <ext uri="{3e2802c4-a4d2-4d8b-9148-e3be6c30e623}">
          <xlrd:rvb i="121"/>
        </ext>
      </extLst>
    </bk>
    <bk>
      <extLst>
        <ext uri="{3e2802c4-a4d2-4d8b-9148-e3be6c30e623}">
          <xlrd:rvb i="122"/>
        </ext>
      </extLst>
    </bk>
    <bk>
      <extLst>
        <ext uri="{3e2802c4-a4d2-4d8b-9148-e3be6c30e623}">
          <xlrd:rvb i="123"/>
        </ext>
      </extLst>
    </bk>
    <bk>
      <extLst>
        <ext uri="{3e2802c4-a4d2-4d8b-9148-e3be6c30e623}">
          <xlrd:rvb i="124"/>
        </ext>
      </extLst>
    </bk>
    <bk>
      <extLst>
        <ext uri="{3e2802c4-a4d2-4d8b-9148-e3be6c30e623}">
          <xlrd:rvb i="125"/>
        </ext>
      </extLst>
    </bk>
    <bk>
      <extLst>
        <ext uri="{3e2802c4-a4d2-4d8b-9148-e3be6c30e623}">
          <xlrd:rvb i="126"/>
        </ext>
      </extLst>
    </bk>
    <bk>
      <extLst>
        <ext uri="{3e2802c4-a4d2-4d8b-9148-e3be6c30e623}">
          <xlrd:rvb i="127"/>
        </ext>
      </extLst>
    </bk>
    <bk>
      <extLst>
        <ext uri="{3e2802c4-a4d2-4d8b-9148-e3be6c30e623}">
          <xlrd:rvb i="128"/>
        </ext>
      </extLst>
    </bk>
    <bk>
      <extLst>
        <ext uri="{3e2802c4-a4d2-4d8b-9148-e3be6c30e623}">
          <xlrd:rvb i="129"/>
        </ext>
      </extLst>
    </bk>
    <bk>
      <extLst>
        <ext uri="{3e2802c4-a4d2-4d8b-9148-e3be6c30e623}">
          <xlrd:rvb i="130"/>
        </ext>
      </extLst>
    </bk>
    <bk>
      <extLst>
        <ext uri="{3e2802c4-a4d2-4d8b-9148-e3be6c30e623}">
          <xlrd:rvb i="131"/>
        </ext>
      </extLst>
    </bk>
    <bk>
      <extLst>
        <ext uri="{3e2802c4-a4d2-4d8b-9148-e3be6c30e623}">
          <xlrd:rvb i="132"/>
        </ext>
      </extLst>
    </bk>
    <bk>
      <extLst>
        <ext uri="{3e2802c4-a4d2-4d8b-9148-e3be6c30e623}">
          <xlrd:rvb i="133"/>
        </ext>
      </extLst>
    </bk>
    <bk>
      <extLst>
        <ext uri="{3e2802c4-a4d2-4d8b-9148-e3be6c30e623}">
          <xlrd:rvb i="134"/>
        </ext>
      </extLst>
    </bk>
    <bk>
      <extLst>
        <ext uri="{3e2802c4-a4d2-4d8b-9148-e3be6c30e623}">
          <xlrd:rvb i="135"/>
        </ext>
      </extLst>
    </bk>
    <bk>
      <extLst>
        <ext uri="{3e2802c4-a4d2-4d8b-9148-e3be6c30e623}">
          <xlrd:rvb i="136"/>
        </ext>
      </extLst>
    </bk>
    <bk>
      <extLst>
        <ext uri="{3e2802c4-a4d2-4d8b-9148-e3be6c30e623}">
          <xlrd:rvb i="137"/>
        </ext>
      </extLst>
    </bk>
    <bk>
      <extLst>
        <ext uri="{3e2802c4-a4d2-4d8b-9148-e3be6c30e623}">
          <xlrd:rvb i="138"/>
        </ext>
      </extLst>
    </bk>
    <bk>
      <extLst>
        <ext uri="{3e2802c4-a4d2-4d8b-9148-e3be6c30e623}">
          <xlrd:rvb i="139"/>
        </ext>
      </extLst>
    </bk>
    <bk>
      <extLst>
        <ext uri="{3e2802c4-a4d2-4d8b-9148-e3be6c30e623}">
          <xlrd:rvb i="140"/>
        </ext>
      </extLst>
    </bk>
    <bk>
      <extLst>
        <ext uri="{3e2802c4-a4d2-4d8b-9148-e3be6c30e623}">
          <xlrd:rvb i="141"/>
        </ext>
      </extLst>
    </bk>
    <bk>
      <extLst>
        <ext uri="{3e2802c4-a4d2-4d8b-9148-e3be6c30e623}">
          <xlrd:rvb i="142"/>
        </ext>
      </extLst>
    </bk>
    <bk>
      <extLst>
        <ext uri="{3e2802c4-a4d2-4d8b-9148-e3be6c30e623}">
          <xlrd:rvb i="143"/>
        </ext>
      </extLst>
    </bk>
    <bk>
      <extLst>
        <ext uri="{3e2802c4-a4d2-4d8b-9148-e3be6c30e623}">
          <xlrd:rvb i="144"/>
        </ext>
      </extLst>
    </bk>
    <bk>
      <extLst>
        <ext uri="{3e2802c4-a4d2-4d8b-9148-e3be6c30e623}">
          <xlrd:rvb i="145"/>
        </ext>
      </extLst>
    </bk>
    <bk>
      <extLst>
        <ext uri="{3e2802c4-a4d2-4d8b-9148-e3be6c30e623}">
          <xlrd:rvb i="146"/>
        </ext>
      </extLst>
    </bk>
    <bk>
      <extLst>
        <ext uri="{3e2802c4-a4d2-4d8b-9148-e3be6c30e623}">
          <xlrd:rvb i="147"/>
        </ext>
      </extLst>
    </bk>
    <bk>
      <extLst>
        <ext uri="{3e2802c4-a4d2-4d8b-9148-e3be6c30e623}">
          <xlrd:rvb i="148"/>
        </ext>
      </extLst>
    </bk>
    <bk>
      <extLst>
        <ext uri="{3e2802c4-a4d2-4d8b-9148-e3be6c30e623}">
          <xlrd:rvb i="149"/>
        </ext>
      </extLst>
    </bk>
    <bk>
      <extLst>
        <ext uri="{3e2802c4-a4d2-4d8b-9148-e3be6c30e623}">
          <xlrd:rvb i="150"/>
        </ext>
      </extLst>
    </bk>
    <bk>
      <extLst>
        <ext uri="{3e2802c4-a4d2-4d8b-9148-e3be6c30e623}">
          <xlrd:rvb i="151"/>
        </ext>
      </extLst>
    </bk>
    <bk>
      <extLst>
        <ext uri="{3e2802c4-a4d2-4d8b-9148-e3be6c30e623}">
          <xlrd:rvb i="152"/>
        </ext>
      </extLst>
    </bk>
    <bk>
      <extLst>
        <ext uri="{3e2802c4-a4d2-4d8b-9148-e3be6c30e623}">
          <xlrd:rvb i="153"/>
        </ext>
      </extLst>
    </bk>
    <bk>
      <extLst>
        <ext uri="{3e2802c4-a4d2-4d8b-9148-e3be6c30e623}">
          <xlrd:rvb i="154"/>
        </ext>
      </extLst>
    </bk>
    <bk>
      <extLst>
        <ext uri="{3e2802c4-a4d2-4d8b-9148-e3be6c30e623}">
          <xlrd:rvb i="155"/>
        </ext>
      </extLst>
    </bk>
    <bk>
      <extLst>
        <ext uri="{3e2802c4-a4d2-4d8b-9148-e3be6c30e623}">
          <xlrd:rvb i="156"/>
        </ext>
      </extLst>
    </bk>
    <bk>
      <extLst>
        <ext uri="{3e2802c4-a4d2-4d8b-9148-e3be6c30e623}">
          <xlrd:rvb i="157"/>
        </ext>
      </extLst>
    </bk>
    <bk>
      <extLst>
        <ext uri="{3e2802c4-a4d2-4d8b-9148-e3be6c30e623}">
          <xlrd:rvb i="158"/>
        </ext>
      </extLst>
    </bk>
    <bk>
      <extLst>
        <ext uri="{3e2802c4-a4d2-4d8b-9148-e3be6c30e623}">
          <xlrd:rvb i="159"/>
        </ext>
      </extLst>
    </bk>
    <bk>
      <extLst>
        <ext uri="{3e2802c4-a4d2-4d8b-9148-e3be6c30e623}">
          <xlrd:rvb i="160"/>
        </ext>
      </extLst>
    </bk>
    <bk>
      <extLst>
        <ext uri="{3e2802c4-a4d2-4d8b-9148-e3be6c30e623}">
          <xlrd:rvb i="161"/>
        </ext>
      </extLst>
    </bk>
    <bk>
      <extLst>
        <ext uri="{3e2802c4-a4d2-4d8b-9148-e3be6c30e623}">
          <xlrd:rvb i="162"/>
        </ext>
      </extLst>
    </bk>
    <bk>
      <extLst>
        <ext uri="{3e2802c4-a4d2-4d8b-9148-e3be6c30e623}">
          <xlrd:rvb i="163"/>
        </ext>
      </extLst>
    </bk>
    <bk>
      <extLst>
        <ext uri="{3e2802c4-a4d2-4d8b-9148-e3be6c30e623}">
          <xlrd:rvb i="164"/>
        </ext>
      </extLst>
    </bk>
    <bk>
      <extLst>
        <ext uri="{3e2802c4-a4d2-4d8b-9148-e3be6c30e623}">
          <xlrd:rvb i="165"/>
        </ext>
      </extLst>
    </bk>
    <bk>
      <extLst>
        <ext uri="{3e2802c4-a4d2-4d8b-9148-e3be6c30e623}">
          <xlrd:rvb i="166"/>
        </ext>
      </extLst>
    </bk>
    <bk>
      <extLst>
        <ext uri="{3e2802c4-a4d2-4d8b-9148-e3be6c30e623}">
          <xlrd:rvb i="167"/>
        </ext>
      </extLst>
    </bk>
  </futureMetadata>
  <cellMetadata count="1">
    <bk>
      <rc t="1" v="0"/>
    </bk>
  </cellMetadata>
  <valueMetadata count="168">
    <bk>
      <rc t="2" v="0"/>
    </bk>
    <bk>
      <rc t="2" v="1"/>
    </bk>
    <bk>
      <rc t="2" v="2"/>
    </bk>
    <bk>
      <rc t="2" v="3"/>
    </bk>
    <bk>
      <rc t="2" v="4"/>
    </bk>
    <bk>
      <rc t="2" v="5"/>
    </bk>
    <bk>
      <rc t="2" v="6"/>
    </bk>
    <bk>
      <rc t="2" v="7"/>
    </bk>
    <bk>
      <rc t="2" v="8"/>
    </bk>
    <bk>
      <rc t="2" v="9"/>
    </bk>
    <bk>
      <rc t="2" v="10"/>
    </bk>
    <bk>
      <rc t="2" v="11"/>
    </bk>
    <bk>
      <rc t="2" v="12"/>
    </bk>
    <bk>
      <rc t="2" v="13"/>
    </bk>
    <bk>
      <rc t="2" v="14"/>
    </bk>
    <bk>
      <rc t="2" v="15"/>
    </bk>
    <bk>
      <rc t="2" v="16"/>
    </bk>
    <bk>
      <rc t="2" v="17"/>
    </bk>
    <bk>
      <rc t="2" v="18"/>
    </bk>
    <bk>
      <rc t="2" v="19"/>
    </bk>
    <bk>
      <rc t="2" v="20"/>
    </bk>
    <bk>
      <rc t="2" v="21"/>
    </bk>
    <bk>
      <rc t="2" v="22"/>
    </bk>
    <bk>
      <rc t="2" v="23"/>
    </bk>
    <bk>
      <rc t="2" v="24"/>
    </bk>
    <bk>
      <rc t="2" v="25"/>
    </bk>
    <bk>
      <rc t="2" v="26"/>
    </bk>
    <bk>
      <rc t="2" v="27"/>
    </bk>
    <bk>
      <rc t="2" v="28"/>
    </bk>
    <bk>
      <rc t="2" v="29"/>
    </bk>
    <bk>
      <rc t="2" v="30"/>
    </bk>
    <bk>
      <rc t="2" v="31"/>
    </bk>
    <bk>
      <rc t="2" v="32"/>
    </bk>
    <bk>
      <rc t="2" v="33"/>
    </bk>
    <bk>
      <rc t="2" v="34"/>
    </bk>
    <bk>
      <rc t="2" v="35"/>
    </bk>
    <bk>
      <rc t="2" v="36"/>
    </bk>
    <bk>
      <rc t="2" v="37"/>
    </bk>
    <bk>
      <rc t="2" v="38"/>
    </bk>
    <bk>
      <rc t="2" v="39"/>
    </bk>
    <bk>
      <rc t="2" v="40"/>
    </bk>
    <bk>
      <rc t="2" v="41"/>
    </bk>
    <bk>
      <rc t="2" v="42"/>
    </bk>
    <bk>
      <rc t="2" v="43"/>
    </bk>
    <bk>
      <rc t="2" v="44"/>
    </bk>
    <bk>
      <rc t="2" v="45"/>
    </bk>
    <bk>
      <rc t="2" v="46"/>
    </bk>
    <bk>
      <rc t="2" v="47"/>
    </bk>
    <bk>
      <rc t="2" v="48"/>
    </bk>
    <bk>
      <rc t="2" v="49"/>
    </bk>
    <bk>
      <rc t="2" v="50"/>
    </bk>
    <bk>
      <rc t="2" v="51"/>
    </bk>
    <bk>
      <rc t="2" v="52"/>
    </bk>
    <bk>
      <rc t="2" v="53"/>
    </bk>
    <bk>
      <rc t="2" v="54"/>
    </bk>
    <bk>
      <rc t="2" v="55"/>
    </bk>
    <bk>
      <rc t="2" v="56"/>
    </bk>
    <bk>
      <rc t="2" v="57"/>
    </bk>
    <bk>
      <rc t="2" v="58"/>
    </bk>
    <bk>
      <rc t="2" v="59"/>
    </bk>
    <bk>
      <rc t="2" v="60"/>
    </bk>
    <bk>
      <rc t="2" v="61"/>
    </bk>
    <bk>
      <rc t="2" v="62"/>
    </bk>
    <bk>
      <rc t="2" v="63"/>
    </bk>
    <bk>
      <rc t="2" v="64"/>
    </bk>
    <bk>
      <rc t="2" v="65"/>
    </bk>
    <bk>
      <rc t="2" v="66"/>
    </bk>
    <bk>
      <rc t="2" v="67"/>
    </bk>
    <bk>
      <rc t="2" v="68"/>
    </bk>
    <bk>
      <rc t="2" v="69"/>
    </bk>
    <bk>
      <rc t="2" v="70"/>
    </bk>
    <bk>
      <rc t="2" v="71"/>
    </bk>
    <bk>
      <rc t="2" v="72"/>
    </bk>
    <bk>
      <rc t="2" v="73"/>
    </bk>
    <bk>
      <rc t="2" v="74"/>
    </bk>
    <bk>
      <rc t="2" v="75"/>
    </bk>
    <bk>
      <rc t="2" v="76"/>
    </bk>
    <bk>
      <rc t="2" v="77"/>
    </bk>
    <bk>
      <rc t="2" v="78"/>
    </bk>
    <bk>
      <rc t="2" v="79"/>
    </bk>
    <bk>
      <rc t="2" v="80"/>
    </bk>
    <bk>
      <rc t="2" v="81"/>
    </bk>
    <bk>
      <rc t="2" v="82"/>
    </bk>
    <bk>
      <rc t="2" v="83"/>
    </bk>
    <bk>
      <rc t="2" v="84"/>
    </bk>
    <bk>
      <rc t="2" v="85"/>
    </bk>
    <bk>
      <rc t="2" v="86"/>
    </bk>
    <bk>
      <rc t="2" v="87"/>
    </bk>
    <bk>
      <rc t="2" v="88"/>
    </bk>
    <bk>
      <rc t="2" v="89"/>
    </bk>
    <bk>
      <rc t="2" v="90"/>
    </bk>
    <bk>
      <rc t="2" v="91"/>
    </bk>
    <bk>
      <rc t="2" v="92"/>
    </bk>
    <bk>
      <rc t="2" v="93"/>
    </bk>
    <bk>
      <rc t="2" v="94"/>
    </bk>
    <bk>
      <rc t="2" v="95"/>
    </bk>
    <bk>
      <rc t="2" v="96"/>
    </bk>
    <bk>
      <rc t="2" v="97"/>
    </bk>
    <bk>
      <rc t="2" v="98"/>
    </bk>
    <bk>
      <rc t="2" v="99"/>
    </bk>
    <bk>
      <rc t="2" v="100"/>
    </bk>
    <bk>
      <rc t="2" v="101"/>
    </bk>
    <bk>
      <rc t="2" v="102"/>
    </bk>
    <bk>
      <rc t="2" v="103"/>
    </bk>
    <bk>
      <rc t="2" v="104"/>
    </bk>
    <bk>
      <rc t="2" v="105"/>
    </bk>
    <bk>
      <rc t="2" v="106"/>
    </bk>
    <bk>
      <rc t="2" v="107"/>
    </bk>
    <bk>
      <rc t="2" v="108"/>
    </bk>
    <bk>
      <rc t="2" v="109"/>
    </bk>
    <bk>
      <rc t="2" v="110"/>
    </bk>
    <bk>
      <rc t="2" v="111"/>
    </bk>
    <bk>
      <rc t="2" v="112"/>
    </bk>
    <bk>
      <rc t="2" v="113"/>
    </bk>
    <bk>
      <rc t="2" v="114"/>
    </bk>
    <bk>
      <rc t="2" v="115"/>
    </bk>
    <bk>
      <rc t="2" v="116"/>
    </bk>
    <bk>
      <rc t="2" v="117"/>
    </bk>
    <bk>
      <rc t="2" v="118"/>
    </bk>
    <bk>
      <rc t="2" v="119"/>
    </bk>
    <bk>
      <rc t="2" v="120"/>
    </bk>
    <bk>
      <rc t="2" v="121"/>
    </bk>
    <bk>
      <rc t="2" v="122"/>
    </bk>
    <bk>
      <rc t="2" v="123"/>
    </bk>
    <bk>
      <rc t="2" v="124"/>
    </bk>
    <bk>
      <rc t="2" v="125"/>
    </bk>
    <bk>
      <rc t="2" v="126"/>
    </bk>
    <bk>
      <rc t="2" v="127"/>
    </bk>
    <bk>
      <rc t="2" v="128"/>
    </bk>
    <bk>
      <rc t="2" v="129"/>
    </bk>
    <bk>
      <rc t="2" v="130"/>
    </bk>
    <bk>
      <rc t="2" v="131"/>
    </bk>
    <bk>
      <rc t="2" v="132"/>
    </bk>
    <bk>
      <rc t="2" v="133"/>
    </bk>
    <bk>
      <rc t="2" v="134"/>
    </bk>
    <bk>
      <rc t="2" v="135"/>
    </bk>
    <bk>
      <rc t="2" v="136"/>
    </bk>
    <bk>
      <rc t="2" v="137"/>
    </bk>
    <bk>
      <rc t="2" v="138"/>
    </bk>
    <bk>
      <rc t="2" v="139"/>
    </bk>
    <bk>
      <rc t="2" v="140"/>
    </bk>
    <bk>
      <rc t="2" v="141"/>
    </bk>
    <bk>
      <rc t="2" v="142"/>
    </bk>
    <bk>
      <rc t="2" v="143"/>
    </bk>
    <bk>
      <rc t="2" v="144"/>
    </bk>
    <bk>
      <rc t="2" v="145"/>
    </bk>
    <bk>
      <rc t="2" v="146"/>
    </bk>
    <bk>
      <rc t="2" v="147"/>
    </bk>
    <bk>
      <rc t="2" v="148"/>
    </bk>
    <bk>
      <rc t="2" v="149"/>
    </bk>
    <bk>
      <rc t="2" v="150"/>
    </bk>
    <bk>
      <rc t="2" v="151"/>
    </bk>
    <bk>
      <rc t="2" v="152"/>
    </bk>
    <bk>
      <rc t="2" v="153"/>
    </bk>
    <bk>
      <rc t="2" v="154"/>
    </bk>
    <bk>
      <rc t="2" v="155"/>
    </bk>
    <bk>
      <rc t="2" v="156"/>
    </bk>
    <bk>
      <rc t="2" v="157"/>
    </bk>
    <bk>
      <rc t="2" v="158"/>
    </bk>
    <bk>
      <rc t="2" v="159"/>
    </bk>
    <bk>
      <rc t="2" v="160"/>
    </bk>
    <bk>
      <rc t="2" v="161"/>
    </bk>
    <bk>
      <rc t="2" v="162"/>
    </bk>
    <bk>
      <rc t="2" v="163"/>
    </bk>
    <bk>
      <rc t="2" v="164"/>
    </bk>
    <bk>
      <rc t="2" v="165"/>
    </bk>
    <bk>
      <rc t="2" v="166"/>
    </bk>
    <bk>
      <rc t="2" v="167"/>
    </bk>
  </valueMetadata>
</metadata>
</file>

<file path=xl/sharedStrings.xml><?xml version="1.0" encoding="utf-8"?>
<sst xmlns="http://schemas.openxmlformats.org/spreadsheetml/2006/main" count="1241" uniqueCount="724">
  <si>
    <t>Animals</t>
  </si>
  <si>
    <t>Taxonomoy</t>
  </si>
  <si>
    <t>J Pod Orcas</t>
  </si>
  <si>
    <t>Locations</t>
  </si>
  <si>
    <t>Orca sighting locations</t>
  </si>
  <si>
    <t>administrative region</t>
  </si>
  <si>
    <t>population</t>
  </si>
  <si>
    <t>latitude</t>
  </si>
  <si>
    <t>longitude</t>
  </si>
  <si>
    <t>Orcas Island</t>
  </si>
  <si>
    <t>San Juan County, Washington, United States</t>
  </si>
  <si>
    <t>San Juan Island</t>
  </si>
  <si>
    <t>Pender Island</t>
  </si>
  <si>
    <t>Capital, British Columbia, Canada</t>
  </si>
  <si>
    <t>Saturna Island</t>
  </si>
  <si>
    <t>Lopez Island</t>
  </si>
  <si>
    <t>Washington, United States</t>
  </si>
  <si>
    <t>Whidbey Island</t>
  </si>
  <si>
    <t>Island County, Washington, United States</t>
  </si>
  <si>
    <t>Vashon Island</t>
  </si>
  <si>
    <t>Camano Island</t>
  </si>
  <si>
    <t>Common name</t>
  </si>
  <si>
    <t>Kingdom</t>
  </si>
  <si>
    <t>Phylum</t>
  </si>
  <si>
    <t>Class</t>
  </si>
  <si>
    <t>Order</t>
  </si>
  <si>
    <t>Family</t>
  </si>
  <si>
    <t>Genus</t>
  </si>
  <si>
    <t>Species</t>
  </si>
  <si>
    <t>Scientific name</t>
  </si>
  <si>
    <t>Wikipedia summary text</t>
  </si>
  <si>
    <t>killer whale</t>
  </si>
  <si>
    <t>animals</t>
  </si>
  <si>
    <t>chordates</t>
  </si>
  <si>
    <t>mammals</t>
  </si>
  <si>
    <t>whales, dolphins and porpoises</t>
  </si>
  <si>
    <t>dolphins, killer whales and pilot whales</t>
  </si>
  <si>
    <t>orca</t>
  </si>
  <si>
    <t>Orcinus orca</t>
  </si>
  <si>
    <t>The killer whale (Orcinus orca), also known as the orca, is a toothed whale belonging to the oceanic dolphin family, of which it is the largest member.</t>
  </si>
  <si>
    <t>pacific white-sided dolphin</t>
  </si>
  <si>
    <t>Lagenorhynchus</t>
  </si>
  <si>
    <t>Lagenorhynchus obliquidens</t>
  </si>
  <si>
    <t>The Pacific white–sided dolphin (Lagenorhynchus obliquidens) is a very active dolphin found in the cool to temperate waters of the North Pacific Ocean.</t>
  </si>
  <si>
    <t>humpback whale</t>
  </si>
  <si>
    <t>rorqual whales</t>
  </si>
  <si>
    <t>Megaptera novaeangliae</t>
  </si>
  <si>
    <t>The humpback whale (Megaptera novaeangliae) is a species of baleen whale. It is one of the larger rorqual species, with adults ranging in length from 12–16 m (39–52 ft) and weighing around 25–30 t (28–33 short tons).</t>
  </si>
  <si>
    <t>harbor seal</t>
  </si>
  <si>
    <t>carnivores</t>
  </si>
  <si>
    <t>earless seals</t>
  </si>
  <si>
    <t>Phoca</t>
  </si>
  <si>
    <t>Phoca vitulina</t>
  </si>
  <si>
    <t>The harbor (or harbour) seal (Phoca vitulina), also known as the common seal, is a true seal found along temperate and Arctic marine coastlines of the Northern Hemisphere.</t>
  </si>
  <si>
    <t>Chinook salmon</t>
  </si>
  <si>
    <t>ray-finned fishes</t>
  </si>
  <si>
    <t>salmons</t>
  </si>
  <si>
    <t>salmonids</t>
  </si>
  <si>
    <t>Oncorhynchus</t>
  </si>
  <si>
    <t>Oncorhynchus tshawytscha</t>
  </si>
  <si>
    <t>The Chinook salmon (Oncorhynchus tshawytscha) is the largest species of Pacific salmon as well as the largest in the genus Oncorhynchus. Its common name is derived from the Chinookan peoples.</t>
  </si>
  <si>
    <t>dungeness crab</t>
  </si>
  <si>
    <t>arthropods</t>
  </si>
  <si>
    <t>woodlice, shrimps, lobsters and crabs</t>
  </si>
  <si>
    <t>shrimps, lobsters, crabs and hermit crabs</t>
  </si>
  <si>
    <t>rock crabs</t>
  </si>
  <si>
    <t>Cancer</t>
  </si>
  <si>
    <t>Cancer magister</t>
  </si>
  <si>
    <t>‎The Dungeness crab, Metacarcinus magister (the naming convention recognised by WoRMS) or Cancer magister (the naming convention recognised by ITIS), is a species of crab that inhabits eelgrass beds and water bottoms on the west coast of North America.</t>
  </si>
  <si>
    <t>osprey</t>
  </si>
  <si>
    <t>birds</t>
  </si>
  <si>
    <t>herons and storks</t>
  </si>
  <si>
    <t>Accipitridae</t>
  </si>
  <si>
    <t>Pandion</t>
  </si>
  <si>
    <t>Pandion haliaetus</t>
  </si>
  <si>
    <t>The osprey or more specifically the western osprey (Pandion haliaetus) — also called sea hawk, river hawk, and fish hawk — is a diurnal, fish–eating bird of prey with a cosmopolitan range.</t>
  </si>
  <si>
    <t>northern river otter</t>
  </si>
  <si>
    <t>badgers, otters and weasels</t>
  </si>
  <si>
    <t>Lontra</t>
  </si>
  <si>
    <t>Lontra canadensis</t>
  </si>
  <si>
    <t>The North American river otter (Lontra canadensis), also known as the northern river otter or common otter, is a semiaquatic mammal endemic to the North American continent found in and along its waterways and coasts.</t>
  </si>
  <si>
    <t>dog</t>
  </si>
  <si>
    <t>coyotes, dogs, foxes, jackals and wolves</t>
  </si>
  <si>
    <t>Canis</t>
  </si>
  <si>
    <t>gray wolf</t>
  </si>
  <si>
    <t>Canis lupus familiaris</t>
  </si>
  <si>
    <t>The dog (Canis familiaris when considered a distinct species or Canis lupus familiaris when considered a subspecies of the wolf) is a domesticated carnivore of the family Canidae.</t>
  </si>
  <si>
    <t>domestic cat</t>
  </si>
  <si>
    <t>cats</t>
  </si>
  <si>
    <t>Felis</t>
  </si>
  <si>
    <t>Felis catus</t>
  </si>
  <si>
    <t>The cat (Felis catus) is a domestic species of small carnivorous mammal. It is the only domesticated species in the family Felidae and is often referred to as the domestic cat to distinguish it from the wild members of the family.</t>
  </si>
  <si>
    <t>human</t>
  </si>
  <si>
    <t>primates</t>
  </si>
  <si>
    <t>humans, chimpanzees, gorillas and orangutans</t>
  </si>
  <si>
    <t>humans</t>
  </si>
  <si>
    <t>Homo sapiens</t>
  </si>
  <si>
    <t>Humans (Homo sapiens) are highly intelligent primates that have become the dominant species on Earth.</t>
  </si>
  <si>
    <t>Eelgrass</t>
  </si>
  <si>
    <t>plants</t>
  </si>
  <si>
    <t>tracheophytes</t>
  </si>
  <si>
    <t>monocots</t>
  </si>
  <si>
    <t>najadales</t>
  </si>
  <si>
    <t>zosteracaeae</t>
  </si>
  <si>
    <t>eelgrass</t>
  </si>
  <si>
    <t>seawrack</t>
  </si>
  <si>
    <t>zostera marina</t>
  </si>
  <si>
    <t xml:space="preserve">Zostera marina is a flowering vascular plant species as one of many kinds of seagrass, with this species known primarily by the English name of eelgrass with seawrack much less used, and refers to the plant after breaking loose from the submerged wetland soil, and drifting free with ocean current and waves to a coast seashore. </t>
  </si>
  <si>
    <t>Name</t>
  </si>
  <si>
    <t>Gender</t>
  </si>
  <si>
    <t>Mother</t>
  </si>
  <si>
    <t>Grandmother</t>
  </si>
  <si>
    <t>Identification</t>
  </si>
  <si>
    <t>Nickname</t>
  </si>
  <si>
    <t>Birth year</t>
  </si>
  <si>
    <t>Death year</t>
  </si>
  <si>
    <t>Life</t>
  </si>
  <si>
    <t>Number of children</t>
  </si>
  <si>
    <t>Calves</t>
  </si>
  <si>
    <t>Status</t>
  </si>
  <si>
    <t>J1 Ruffles</t>
  </si>
  <si>
    <t>Male</t>
  </si>
  <si>
    <t>L45 Asterix</t>
  </si>
  <si>
    <t>J1</t>
  </si>
  <si>
    <t>Ruffles</t>
  </si>
  <si>
    <t>IF([@[Death Year]]="","Alive - "&amp;2021-[@[Birth year]]&amp;IF([@[Birth year]]=2020," year old"," years old"),"Deceased - "&amp;IF([@[Death Year]]=[@[Birth year]],"less than a year old",IF([@[Death Year]]-[@[Birth year]]=1,"1 year old",[@[Death Year]]-[@[Birth year]]&amp;" years old")))</t>
  </si>
  <si>
    <t>J2 Granny</t>
  </si>
  <si>
    <t>Female</t>
  </si>
  <si>
    <t>(unknown)</t>
  </si>
  <si>
    <t>J2</t>
  </si>
  <si>
    <t>Granny</t>
  </si>
  <si>
    <t>J3 Merlin</t>
  </si>
  <si>
    <t>J7 Sucia</t>
  </si>
  <si>
    <t>J3</t>
  </si>
  <si>
    <t>Merlin</t>
  </si>
  <si>
    <t>J4 Mama</t>
  </si>
  <si>
    <t>J4</t>
  </si>
  <si>
    <t>Mama</t>
  </si>
  <si>
    <t>J5 Saratoga</t>
  </si>
  <si>
    <t>J9 Neah</t>
  </si>
  <si>
    <t>J5</t>
  </si>
  <si>
    <t>Saratoga</t>
  </si>
  <si>
    <t>J6 Ralph</t>
  </si>
  <si>
    <t>J6</t>
  </si>
  <si>
    <t>Ralph</t>
  </si>
  <si>
    <t>J7</t>
  </si>
  <si>
    <t>Sucia</t>
  </si>
  <si>
    <t>J8 Speiden</t>
  </si>
  <si>
    <t>J8</t>
  </si>
  <si>
    <t>Speiden</t>
  </si>
  <si>
    <t>J9</t>
  </si>
  <si>
    <t>Neah</t>
  </si>
  <si>
    <t>J10 Tahoma</t>
  </si>
  <si>
    <t>J10</t>
  </si>
  <si>
    <t>Tahoma</t>
  </si>
  <si>
    <t>J11 Blossom</t>
  </si>
  <si>
    <t>J11</t>
  </si>
  <si>
    <t>Blossom</t>
  </si>
  <si>
    <t>J12 Sissy</t>
  </si>
  <si>
    <t>J12</t>
  </si>
  <si>
    <t>Sissy</t>
  </si>
  <si>
    <t>J13</t>
  </si>
  <si>
    <t>(n/a)</t>
  </si>
  <si>
    <t>J14 Samish</t>
  </si>
  <si>
    <t>J14</t>
  </si>
  <si>
    <t>Samish</t>
  </si>
  <si>
    <t>J15</t>
  </si>
  <si>
    <t>J16 Slick</t>
  </si>
  <si>
    <t>J16</t>
  </si>
  <si>
    <t>Slick</t>
  </si>
  <si>
    <t>J17 Princess Angeline</t>
  </si>
  <si>
    <t>J17</t>
  </si>
  <si>
    <t>Princess Angeline</t>
  </si>
  <si>
    <t>J18 Everett</t>
  </si>
  <si>
    <t>J18</t>
  </si>
  <si>
    <t>Everett</t>
  </si>
  <si>
    <t>J19 Shachi</t>
  </si>
  <si>
    <t>J19</t>
  </si>
  <si>
    <t>Shachi</t>
  </si>
  <si>
    <t>J20 Ewok</t>
  </si>
  <si>
    <t>J20</t>
  </si>
  <si>
    <t>Ewok</t>
  </si>
  <si>
    <t>J21 E.T.</t>
  </si>
  <si>
    <t>Unknown</t>
  </si>
  <si>
    <t>J21</t>
  </si>
  <si>
    <t>E.T.</t>
  </si>
  <si>
    <t>J22 Oreo</t>
  </si>
  <si>
    <t>J22</t>
  </si>
  <si>
    <t>Oreo</t>
  </si>
  <si>
    <t>J23 Capricorn</t>
  </si>
  <si>
    <t>J23</t>
  </si>
  <si>
    <t>Capricorn</t>
  </si>
  <si>
    <t>J24 Eltanin</t>
  </si>
  <si>
    <t>J24</t>
  </si>
  <si>
    <t>Eltanin</t>
  </si>
  <si>
    <t>J25 Sheekah</t>
  </si>
  <si>
    <t>J25</t>
  </si>
  <si>
    <t>Sheekah</t>
  </si>
  <si>
    <t>J26 Mike</t>
  </si>
  <si>
    <t>J26</t>
  </si>
  <si>
    <t>Mike</t>
  </si>
  <si>
    <t>J27 Blackberry</t>
  </si>
  <si>
    <t>J27</t>
  </si>
  <si>
    <t>Blackberry</t>
  </si>
  <si>
    <t>J28 Polaris</t>
  </si>
  <si>
    <t>J28</t>
  </si>
  <si>
    <t>Polaris</t>
  </si>
  <si>
    <t>J29 Rigel</t>
  </si>
  <si>
    <t>J29</t>
  </si>
  <si>
    <t>Rigel</t>
  </si>
  <si>
    <t>J30 Riptide</t>
  </si>
  <si>
    <t>J30</t>
  </si>
  <si>
    <t>Riptide</t>
  </si>
  <si>
    <t>J31 Tsuchi</t>
  </si>
  <si>
    <t>J31</t>
  </si>
  <si>
    <t>Tsuchi</t>
  </si>
  <si>
    <t>J32 Rhapsody</t>
  </si>
  <si>
    <t>J32</t>
  </si>
  <si>
    <t>Rhapsody</t>
  </si>
  <si>
    <t>J33 Keet</t>
  </si>
  <si>
    <t>J33</t>
  </si>
  <si>
    <t>Keet</t>
  </si>
  <si>
    <t>J34 Doublestuf</t>
  </si>
  <si>
    <t>J34</t>
  </si>
  <si>
    <t>Doublestuf</t>
  </si>
  <si>
    <t>J35 Tahlequah</t>
  </si>
  <si>
    <t>J35</t>
  </si>
  <si>
    <t>Tahlequah</t>
  </si>
  <si>
    <t>J36 Alki</t>
  </si>
  <si>
    <t>J36</t>
  </si>
  <si>
    <t>Alki</t>
  </si>
  <si>
    <t>J37 Hy'Shqa</t>
  </si>
  <si>
    <t>J37</t>
  </si>
  <si>
    <t>Hy'Shqa</t>
  </si>
  <si>
    <t>J38 Cookie</t>
  </si>
  <si>
    <t>J38</t>
  </si>
  <si>
    <t>Cookie</t>
  </si>
  <si>
    <t>J39 Mako</t>
  </si>
  <si>
    <t>J39</t>
  </si>
  <si>
    <t>Mako</t>
  </si>
  <si>
    <t>J40 Suttles</t>
  </si>
  <si>
    <t>J40</t>
  </si>
  <si>
    <t>Suttles</t>
  </si>
  <si>
    <t>J41 Eclipse</t>
  </si>
  <si>
    <t>J41</t>
  </si>
  <si>
    <t>Eclipse</t>
  </si>
  <si>
    <t>J42 Echo</t>
  </si>
  <si>
    <t>J42</t>
  </si>
  <si>
    <t>Echo</t>
  </si>
  <si>
    <t>J43 Bellatrix</t>
  </si>
  <si>
    <t>J43</t>
  </si>
  <si>
    <t>Bellatrix</t>
  </si>
  <si>
    <t>J44 Moby</t>
  </si>
  <si>
    <t>J44</t>
  </si>
  <si>
    <t>Moby</t>
  </si>
  <si>
    <t>J45 Se-Yi'-Chn</t>
  </si>
  <si>
    <t>J45</t>
  </si>
  <si>
    <t>Se-Yi'-Chn</t>
  </si>
  <si>
    <t>J46 Star</t>
  </si>
  <si>
    <t>J46</t>
  </si>
  <si>
    <t>Star</t>
  </si>
  <si>
    <t>J47 Notch</t>
  </si>
  <si>
    <t>J47</t>
  </si>
  <si>
    <t>Notch</t>
  </si>
  <si>
    <t>J48 Saiph</t>
  </si>
  <si>
    <t>J48</t>
  </si>
  <si>
    <t>Saiph</t>
  </si>
  <si>
    <t>J49 T'ilem I'nges</t>
  </si>
  <si>
    <t>J49</t>
  </si>
  <si>
    <t>T'ilem I'nges</t>
  </si>
  <si>
    <t>J50 Scarlet</t>
  </si>
  <si>
    <t>J50</t>
  </si>
  <si>
    <t>Scarlet</t>
  </si>
  <si>
    <t>J51 Nova</t>
  </si>
  <si>
    <t>J51</t>
  </si>
  <si>
    <t>Nova</t>
  </si>
  <si>
    <t>J52 Sonic</t>
  </si>
  <si>
    <t>J52</t>
  </si>
  <si>
    <t>Sonic</t>
  </si>
  <si>
    <t>J53 Kiki</t>
  </si>
  <si>
    <t>J53</t>
  </si>
  <si>
    <t>Kiki</t>
  </si>
  <si>
    <t>J54 Dipper</t>
  </si>
  <si>
    <t>J54</t>
  </si>
  <si>
    <t>Dipper</t>
  </si>
  <si>
    <t>J55 Betel</t>
  </si>
  <si>
    <t>J55</t>
  </si>
  <si>
    <t>Betel</t>
  </si>
  <si>
    <t>J56 Tofino</t>
  </si>
  <si>
    <t>J56</t>
  </si>
  <si>
    <t>Tofino</t>
  </si>
  <si>
    <t>J57 Phoenix</t>
  </si>
  <si>
    <t>J57</t>
  </si>
  <si>
    <t>Phoenix</t>
  </si>
  <si>
    <t>J58 Crescent</t>
  </si>
  <si>
    <t>J58</t>
  </si>
  <si>
    <t>Crescent</t>
  </si>
  <si>
    <t>J11's calf</t>
  </si>
  <si>
    <t>J28's calf</t>
  </si>
  <si>
    <t>Alnitak</t>
  </si>
  <si>
    <t>J31's calf</t>
  </si>
  <si>
    <t>J35's calf</t>
  </si>
  <si>
    <t>Common Name</t>
  </si>
  <si>
    <t>scientific name</t>
  </si>
  <si>
    <t>wikipedia summary text</t>
  </si>
  <si>
    <t>taxonomic level</t>
  </si>
  <si>
    <t>parent taxon</t>
  </si>
  <si>
    <t>Animalia</t>
  </si>
  <si>
    <t>Animals (also called Metazoa) are multicellular eukaryotic organisms that form the biological kingdom Animalia.</t>
  </si>
  <si>
    <t>kingdom</t>
  </si>
  <si>
    <t>Eukarya</t>
  </si>
  <si>
    <t>Chordata</t>
  </si>
  <si>
    <t>A chordate is an animal of the phylum Chordata. During some period of their life cycle, chordates possess a notochord, a dorsal nerve cord, pharyngeal slits, and a post–anal tail.</t>
  </si>
  <si>
    <t>phylum</t>
  </si>
  <si>
    <t>Arthropoda</t>
  </si>
  <si>
    <t>An arthropod @ii@ 'joint', and πούς(pous) 'foot' (gen. ποδός)) is an invertebrate animal having an exoskeleton, a segmented body, and paired jointed appendages.</t>
  </si>
  <si>
    <t>Mammalia</t>
  </si>
  <si>
    <t>‎Mammals are a group of vertebrate animals, characterized by the presence of mammary glands for nursing their young, a neocortex, fur or hair, and three middle ear bones.</t>
  </si>
  <si>
    <t>class</t>
  </si>
  <si>
    <t>Actinopterygii</t>
  </si>
  <si>
    <t>Actinopterygii, members of which are known as ray–finned fishes, is a class or subclass of the bony fishes.</t>
  </si>
  <si>
    <t>Malacostraca</t>
  </si>
  <si>
    <t>Malacostraca is the largest of the six classes of crustaceans, containing about 40,000 living species, divided among 16 orders.</t>
  </si>
  <si>
    <t>Aves</t>
  </si>
  <si>
    <t>Birds are a group of warm–blooded vertebrates constituting the class Aves, characterised by feathers, toothless beaked jaws, the laying of hard–shelled eggs, a high metabolic rate, a four–chambered heart, and a strong yet lightweight skeleton.</t>
  </si>
  <si>
    <t>Cetacea</t>
  </si>
  <si>
    <t>Cetaceans are fully aquatic mammals constituting the infraorder Cetacea. There are around 89 living species in this order.</t>
  </si>
  <si>
    <t>order</t>
  </si>
  <si>
    <t>Carnivora</t>
  </si>
  <si>
    <t>Carnivora is an order of placental mammals that have specialized in primarily eating flesh.</t>
  </si>
  <si>
    <t>Salmoniformes</t>
  </si>
  <si>
    <t>Salmoniformes are an order of fish that includes salmon, trout, chars, graylings, and freshwater whitefish. All Salmoniformes spawn in fresh water.</t>
  </si>
  <si>
    <t>Decapoda</t>
  </si>
  <si>
    <t>The Decapoda or decapods (literally "ten–footed") are an order of crustaceans within the class Malacostraca, including many familiar groups, such as crayfish, crabs, lobsters, prawns, and shrimp. Most decapods are scavengers.</t>
  </si>
  <si>
    <t>Ciconiiformes</t>
  </si>
  <si>
    <t>The order Ciconiiformes has included a variety of large, long-legged wading birds with large bills: storks, herons, egrets, ibises, spoonbills, and several others.</t>
  </si>
  <si>
    <t>Primates</t>
  </si>
  <si>
    <t>A primate (from primus: "prime, first rank") is a eutherian mammal constituting the taxonomic order Primates.</t>
  </si>
  <si>
    <t>Delphinidae</t>
  </si>
  <si>
    <t>Oceanic dolphins or Delphinidae are a widely distributed family of dolphins that live in the sea. Thirty extant species are described.</t>
  </si>
  <si>
    <t>family</t>
  </si>
  <si>
    <t>Balaenopteridae</t>
  </si>
  <si>
    <t>Rorquals (Balaenopteridae) are the largest group of baleen whales, a family with nine extant species in two genera.</t>
  </si>
  <si>
    <t>Phocidae</t>
  </si>
  <si>
    <t>The earless seals, phocids or true seals are one of the three main groups of mammals within the seal lineage, Pinnipedia. All true seals are members of the family Phocidae.</t>
  </si>
  <si>
    <t>Salmonidae</t>
  </si>
  <si>
    <t>Salmonidae is a family of ray–finned fish, the only living family currently placed in the order Salmoniformes. It includes salmon, trout, chars, freshwater whitefishes, and graylings, which collectively are known as the salmonids.</t>
  </si>
  <si>
    <t>Cancridae</t>
  </si>
  <si>
    <t>Cancridae is a family of crabs. It comprises six extant genera, including anatolikos, cancer, glebocarcinus, lobocarcinus, metacarcinus, and romaleon.</t>
  </si>
  <si>
    <t>The Accipitridae, one of the three families within the order Accipitriformes (the others being Pandionidae and Sagittariidae), are a family of small to large birds with strongly hooked bills and variable morphology based on diet.</t>
  </si>
  <si>
    <t>Mustelidae</t>
  </si>
  <si>
    <t>The Mustelidae (weasel) are a family of carnivorous mammals, including weasels, badgers, otters, ferrets, martens, minks, and wolverines, among others.</t>
  </si>
  <si>
    <t>Canidae</t>
  </si>
  <si>
    <t>Canidae (from Latin, canis, "dog") is a biological family of dog–like carnivorans. A member of this family is called a canid.</t>
  </si>
  <si>
    <t>Felidae</t>
  </si>
  <si>
    <t>Felidae is a family of mammals in the order Carnivora, colloquially referred to as cats, and constitutes a clade. A member of this family is also called a felid.</t>
  </si>
  <si>
    <t>Hominidae</t>
  </si>
  <si>
    <t>‎The Hominidae, whose members are known as great apes or hominids, are a taxonomic family of primates that includes eight extant species in four genera: Pongo, the Bornean, Sumatran and Tapanuli orangutan; Gorilla, the eastern and western gorilla; Pan, the common chimpanzee and the bonobo; and Homo, of which only modern humans remain.</t>
  </si>
  <si>
    <t>Orcinus</t>
  </si>
  <si>
    <t>Orcinus is a genus of Delphinidae, the family of carnivorous marine mammals known as dolphins. It includes the largest delphinid species, Orcinus orca, known as the orca or killer whale.</t>
  </si>
  <si>
    <t>genus</t>
  </si>
  <si>
    <t>Lagenorhynchus is a genus in the order Cetacea, traditionally containing six species:</t>
  </si>
  <si>
    <t>Megaptera</t>
  </si>
  <si>
    <t>Megaptera is the genus for humpback whales (megaptera novaeangliae). They are very large at 14-17 meters in length as adults, weighing up to 40 metric tons. They are distinguishable by their distinctive body shape, with long pectoral fins and a knobbly head.</t>
  </si>
  <si>
    <t>Phoca is a genus of the earless seals, within the family Phocidae. It now contains just two species, the common seal (or harbour seal) and the spotted seal (or largha seal).</t>
  </si>
  <si>
    <t>Oncorhynchus is a genus of fish in the family Salmonidae; it contains the Pacific salmon and Pacific trout.</t>
  </si>
  <si>
    <t>Cancer is a genus of marine crabs in the family Cancridae.</t>
  </si>
  <si>
    <t>Pandion is a genus of birds of prey, known as ospreys, the only genus of family Pandionidae.</t>
  </si>
  <si>
    <t>Lontra is a genus of otters from the Americas.</t>
  </si>
  <si>
    <t>Canis is a genus of the Caninae containing multiple extant species, such as wolves, dogs, coyotes and jackals.</t>
  </si>
  <si>
    <t>Felis is a genus of small and medium–sized cat species native to most of Africa and south of 60° latitude in Europe and Asia to Indochina. The genus includes the domestic cat.</t>
  </si>
  <si>
    <t>Homo</t>
  </si>
  <si>
    <t>‎Homo (meaning 'man') is the genus that emerged in the otherwise extinct genus Australopithecus that encompasses the extant species Homo sapiens (modern humans), plus several extinct species classified as either ancestral to or closely related to modern humans (depending on the species), most notably Homo erectus and Homo neanderthalensis.</t>
  </si>
  <si>
    <t>species</t>
  </si>
  <si>
    <t>Canis lupus</t>
  </si>
  <si>
    <t>The wolf (Canis lupus), also known as the gray wolf or grey wolf, is a large canine native to Eurasia and North America.</t>
  </si>
  <si>
    <t>eukarya</t>
  </si>
  <si>
    <t>Eukaryota</t>
  </si>
  <si>
    <t>Eukaryotes are organisms whose cells have a nucleus enclosed within a nuclear envelope. The domain Eukarya makes up one of the three domains of life.</t>
  </si>
  <si>
    <t>domain</t>
  </si>
  <si>
    <t>Box</t>
  </si>
  <si>
    <t>Prompt</t>
  </si>
  <si>
    <t>Text1</t>
  </si>
  <si>
    <t>Text2</t>
  </si>
  <si>
    <t>Text3</t>
  </si>
  <si>
    <t>TextSel</t>
  </si>
  <si>
    <t>TextShow</t>
  </si>
  <si>
    <t>ImageViz1</t>
  </si>
  <si>
    <t>ImageViz2</t>
  </si>
  <si>
    <t>ImageViz3</t>
  </si>
  <si>
    <t>Desc1</t>
  </si>
  <si>
    <t>Desc2</t>
  </si>
  <si>
    <t>Desc3</t>
  </si>
  <si>
    <t>DescShow</t>
  </si>
  <si>
    <t>Where do the Southern Resident orcas live?</t>
  </si>
  <si>
    <t>Planet Earth</t>
  </si>
  <si>
    <t>North America</t>
  </si>
  <si>
    <t>Pacific Northwest</t>
  </si>
  <si>
    <t>The Southern Resident orcas live in the Salish Sea, which is on the northeastern side of the Pacific Ocean.</t>
  </si>
  <si>
    <t>The Salish Sea borders both the southwestern corner of Canada and the northwestern corner of the continental United States.</t>
  </si>
  <si>
    <t>The Salish Sea is close to several large waterfront cities in the Pacific Northwest. It contains islands from both Washington State (USA) and British Columbia (Canada).</t>
  </si>
  <si>
    <t>How big are the orcas?</t>
  </si>
  <si>
    <t>Compared to a human</t>
  </si>
  <si>
    <t>Compared to salmon</t>
  </si>
  <si>
    <t>Compared to an elephant</t>
  </si>
  <si>
    <t>Adult orcas can be up to 30-35 feet long. That is around the length of 5-6 adult humans standing on top of each other!</t>
  </si>
  <si>
    <t>Salmon are the primary prey of the Southern Resident orcas. Orcas need to eat several of these 2-3 foot long salmon each day in order to fill their stomachs!</t>
  </si>
  <si>
    <t>Adult elephants and orcas both weigh an average of 6-7 tons. Examine the chart to see how their weights are distributed differently!</t>
  </si>
  <si>
    <t>How do orcas use sound?</t>
  </si>
  <si>
    <t>Echolocation</t>
  </si>
  <si>
    <t>Tail slaps</t>
  </si>
  <si>
    <t>Songs and whistles</t>
  </si>
  <si>
    <t>Orcas can create clicks that make sounds to bounce off of objects around them. They use this to help them locate fish to eat!</t>
  </si>
  <si>
    <t>Orcas will slap their tails on the surface of the water, creating a sound that can be heard for a long distance. This is used to warn off predators, call for mates, or just clean their tail of barnacles!</t>
  </si>
  <si>
    <t>Orcas communicate to each other with whistles and songs. Hunting, mating, or simple communication all have different sounds. 
Did you know that different groups of orcas speak different languages with these calls?</t>
  </si>
  <si>
    <t>How are orcas identified?</t>
  </si>
  <si>
    <t>Dorsal fin size</t>
  </si>
  <si>
    <t>Saddle patch</t>
  </si>
  <si>
    <t>Dorsal notches</t>
  </si>
  <si>
    <t>A picture of an orca's dorsal fin region can help identify who the given orca is. The male orcas typically have larger fins than females. Southern Resident orcas have more rounded tips than other populations of orcas.</t>
  </si>
  <si>
    <t xml:space="preserve">The saddle patch behind the dorsal fin can appear in a variety of shapes and shades. This unique pattern can aid in identifying individual orcas and family pods. </t>
  </si>
  <si>
    <t>Orcas can also have unique dorsal fin notches. Analyzing this feature in combination with the saddle patch and overall fin shape can assist in determining the identity of an individual orca.</t>
  </si>
  <si>
    <t>https://www.orcasound.net/data/product/SRKW/orcasite/call-examples.mp3</t>
  </si>
  <si>
    <t xml:space="preserve">Listen to what orca calls sound like! </t>
  </si>
  <si>
    <t>Orcas use pulsed calls to communicate with their pod.</t>
  </si>
  <si>
    <t>Grandma</t>
  </si>
  <si>
    <t>Mom</t>
  </si>
  <si>
    <t>S1</t>
  </si>
  <si>
    <t>S2</t>
  </si>
  <si>
    <t>S3</t>
  </si>
  <si>
    <t>Infant</t>
  </si>
  <si>
    <t>Adolescent</t>
  </si>
  <si>
    <t>Adult</t>
  </si>
  <si>
    <t>Vis</t>
  </si>
  <si>
    <t>Option1</t>
  </si>
  <si>
    <t>Option2</t>
  </si>
  <si>
    <t>Option3</t>
  </si>
  <si>
    <t>Input</t>
  </si>
  <si>
    <t>Answer</t>
  </si>
  <si>
    <t>Answer numb</t>
  </si>
  <si>
    <t>Correct</t>
  </si>
  <si>
    <t>Column1</t>
  </si>
  <si>
    <t>Lays eggs</t>
  </si>
  <si>
    <t>Is a plant</t>
  </si>
  <si>
    <t>Is a bacteria</t>
  </si>
  <si>
    <t>Has exterior skeleton</t>
  </si>
  <si>
    <t>Swims on surface</t>
  </si>
  <si>
    <t>Only live underwater</t>
  </si>
  <si>
    <t>Only eats plants</t>
  </si>
  <si>
    <t>Lives for six months</t>
  </si>
  <si>
    <t>Lays eggs, no nursing</t>
  </si>
  <si>
    <t>Lives on land and sea</t>
  </si>
  <si>
    <t>Only eats crustaceans</t>
  </si>
  <si>
    <t>Only live in tropics</t>
  </si>
  <si>
    <t>Grows on the sea floor</t>
  </si>
  <si>
    <t>Is not a dolphin</t>
  </si>
  <si>
    <t>Not an Orcinus dolphin</t>
  </si>
  <si>
    <t>Carries calves in pouch</t>
  </si>
  <si>
    <t>Only eats mammals</t>
  </si>
  <si>
    <t>Largest sea mammal</t>
  </si>
  <si>
    <t>Breathes with gills</t>
  </si>
  <si>
    <t>Only orca species</t>
  </si>
  <si>
    <t>Charting steps</t>
  </si>
  <si>
    <t>Title</t>
  </si>
  <si>
    <t>Text</t>
  </si>
  <si>
    <t>Img</t>
  </si>
  <si>
    <t>Use a table</t>
  </si>
  <si>
    <t>A table makes things faster and easier when working with data types and can automatically fill with the data that you select. Here, we will discover how to use these data types to add the points to a chart!</t>
  </si>
  <si>
    <t>Use formulas</t>
  </si>
  <si>
    <t>The table below has two blank columns ready for data! Rather than entering data manually, we can use a formula to fill all these locations at once! These formulas will use a type of formula called "dot notation".</t>
  </si>
  <si>
    <t>Add latitude</t>
  </si>
  <si>
    <t>Start by selecting the first cell under "latitude" then start creating the formula by typing "=" in the cell. Next, select the cell reading "Orcas Island" to the left, type ".latitude".
Hit enter, and you have the latitude for every island!</t>
  </si>
  <si>
    <t>Add longitude</t>
  </si>
  <si>
    <t>Repeat this process for "longitude" in the next column. Selecting the first cell under "longitude", type "=", select the cell reading "Orcas Island" to the left, and type ".longitude". 
Hit enter, and now you have the location of each island!</t>
  </si>
  <si>
    <t>View on a chart</t>
  </si>
  <si>
    <t xml:space="preserve">Notice the chart that this chart was all ready for these coordinates, and immediately visualized those locations once the formulas were complete! </t>
  </si>
  <si>
    <t>This workbook is called "Day of Data: Orcas; Use data to research". Navigate to A1 on each page to receive screen reader text descriptions. Continue down in column A on each page to continue learning.</t>
  </si>
  <si>
    <t xml:space="preserve">In 2005, the Southern Resident orcas living in the Salish Sea were added to the endangered species list. Today, only 75 individuals remain, down from over 200 in the early 1900s. These individuals belong to one of three family groups called Pods: J pod, K pod, and L pod. </t>
  </si>
  <si>
    <t>Let's learn more about this unique population through the eyes of Kiki. Kiki is a young, female orca and a member of the J pod family group.</t>
  </si>
  <si>
    <t>Day of Data: Orcas</t>
  </si>
  <si>
    <t xml:space="preserve">Investigate Kiki and her family using a new feature in Excel called linked data types. </t>
  </si>
  <si>
    <t>Use data to research</t>
  </si>
  <si>
    <t>To see the world from Kiki’s perspective, try out the immersive Hololens experience or view a video using the link below.</t>
  </si>
  <si>
    <t>Press Ctrl plus Page Down to go to the next sheet on Excel for Windows, or Ctrl plus Alt plus Page Down on Excel for the web.</t>
  </si>
  <si>
    <t>In 2005, the Southern Resident orcas living in the Salish Sea were added to the endangered species list. Today, only 75 individuals remain, down from over 200 in the early 1900s. These individuals belong to one of three family groups called Pods: J pod, K pod, and L pod. 
Let's learn more about this unique population through the eyes of Kiki. Kiki is a young, female orca, and a member of the J pod family group.
Investigate Kiki and her family using a new feature in Excel called linked data types. 
To see the world from Kiki’s perspective, try out the immersive Hololens experience or view a video using the link below.</t>
  </si>
  <si>
    <t>To see the world from Kiki’s perspective, go to the link below in cell A8.</t>
  </si>
  <si>
    <t>https://vimeo.com/432190266/b9305cf75a</t>
  </si>
  <si>
    <t>Video of Kiki</t>
  </si>
  <si>
    <t>Next sheet</t>
  </si>
  <si>
    <t>Instructions</t>
  </si>
  <si>
    <t>Learn about how to use and navigate this workbook.</t>
  </si>
  <si>
    <t xml:space="preserve">Use the Table of Contents in cells D8 to E20 to orient yourself to the lesson pages. </t>
  </si>
  <si>
    <t>Cells L6 through L16 provide the following introduction to Excel:
Excel displays all content on a grid, which is made of rows and columns of boxes called cells.
A cell's contents can be seen in the formula bar above the grid. 
If text is too large or small, use the zoom tool in the bottom right.</t>
  </si>
  <si>
    <t>Cells D23 through D36 describe how interactions work, using dropdowns in Excel.
Select the cell in D28, which reads "Step 1".
Use the Alt plus Down keys to open up this dropdown.
Select "Step 2", and press Enter to change the selection.
This process can be repeated for the dropdown in cell D36.</t>
  </si>
  <si>
    <t>Contents</t>
  </si>
  <si>
    <t>Excel basics</t>
  </si>
  <si>
    <t>This workbook also uses linked data types, which provides additional data linked to a single cell, accessible through its data card.
Cell L28 has a linked data type. Select it, and press Ctrl plus Shift plus F5. This opens the card.</t>
  </si>
  <si>
    <t>This workbook consists of 12 pages that guide and assist you in your orca investigation.</t>
  </si>
  <si>
    <r>
      <t xml:space="preserve">Excel displays all content on a </t>
    </r>
    <r>
      <rPr>
        <b/>
        <u/>
        <sz val="11"/>
        <color theme="8" tint="-0.499984740745262"/>
        <rFont val="Calibri"/>
        <family val="2"/>
      </rPr>
      <t>grid</t>
    </r>
    <r>
      <rPr>
        <sz val="11"/>
        <color theme="1"/>
        <rFont val="Calibri"/>
        <family val="2"/>
      </rPr>
      <t xml:space="preserve">, which is made of rows and columns of boxes called </t>
    </r>
    <r>
      <rPr>
        <b/>
        <u/>
        <sz val="11"/>
        <color theme="4" tint="-0.249977111117893"/>
        <rFont val="Calibri"/>
        <family val="2"/>
      </rPr>
      <t>cells</t>
    </r>
    <r>
      <rPr>
        <sz val="11"/>
        <color theme="1"/>
        <rFont val="Calibri"/>
        <family val="2"/>
      </rPr>
      <t>.</t>
    </r>
  </si>
  <si>
    <t>Cell L32 depicts an example of a text entry box, to provide a long-form response to a prompt.</t>
  </si>
  <si>
    <t xml:space="preserve">Each page contains navigation buttons, but you can navigate the pages by using Ctrl plus Page Up to go to the previous sheet and Ctrl plus Page Down to go to the next sheet on Excel for Windows, or Ctrl plus Alt plus Page Up to go to the previous sheet and Ctrl plus Alt plus Page Down to go to the next sheet on Excel for the web. </t>
  </si>
  <si>
    <t>Introduction</t>
  </si>
  <si>
    <t>Did you know</t>
  </si>
  <si>
    <t>1. Introducing J pod</t>
  </si>
  <si>
    <r>
      <t xml:space="preserve">A cell's contents can be seen in the </t>
    </r>
    <r>
      <rPr>
        <b/>
        <u/>
        <sz val="11"/>
        <color theme="9"/>
        <rFont val="Calibri"/>
        <family val="2"/>
      </rPr>
      <t>formula bar</t>
    </r>
    <r>
      <rPr>
        <sz val="11"/>
        <color theme="1"/>
        <rFont val="Calibri"/>
        <family val="2"/>
      </rPr>
      <t>.</t>
    </r>
  </si>
  <si>
    <t>2. Activity: Orca family</t>
  </si>
  <si>
    <t>3. Learning Orca taxonomy</t>
  </si>
  <si>
    <t>4. Activity: Orca taxonomy</t>
  </si>
  <si>
    <t>5. Finding J pod</t>
  </si>
  <si>
    <t>6. Activity: Orca sightings</t>
  </si>
  <si>
    <r>
      <t xml:space="preserve">If text is too large or small, use the </t>
    </r>
    <r>
      <rPr>
        <b/>
        <u/>
        <sz val="11"/>
        <color rgb="FF7030A0"/>
        <rFont val="Calibri"/>
        <family val="2"/>
      </rPr>
      <t>zoom</t>
    </r>
    <r>
      <rPr>
        <sz val="11"/>
        <color theme="1"/>
        <rFont val="Calibri"/>
        <family val="2"/>
      </rPr>
      <t xml:space="preserve"> tool in the bottom right.</t>
    </r>
  </si>
  <si>
    <t>Certificate</t>
  </si>
  <si>
    <t>Student Journal</t>
  </si>
  <si>
    <t>Lesson Plan</t>
  </si>
  <si>
    <t>Dropdown interactions</t>
  </si>
  <si>
    <t>Other interactions</t>
  </si>
  <si>
    <t>Badge and navigation</t>
  </si>
  <si>
    <t>Select the light blue boxes to view the dropdown icon on its right. 
Select Step 2 to learn about something different!</t>
  </si>
  <si>
    <t>You will learn about a feature called "data types" through this workbook. Select the icon for any data type cell to learn more from one of these cells!</t>
  </si>
  <si>
    <t>Track your progress towards your certificate by viewing the badge in the bottom right of each activity sheet! Complete all the yellow dropdowns and yellow written reflections to fill in your badge.</t>
  </si>
  <si>
    <t>Select a step ↓</t>
  </si>
  <si>
    <t>↓ Select the icon</t>
  </si>
  <si>
    <t>Step 1</t>
  </si>
  <si>
    <t>This workbook also includes large yellow cells for written reflections. Double click to add or edit your response. Use complete sentences.</t>
  </si>
  <si>
    <t>This workbook uses yellow boxes to check your understanding with a multiple choice question. Interact with these dropdowns to select your answer!</t>
  </si>
  <si>
    <t xml:space="preserve">Here is what a response might look like.
These responses save automatically into the Student Journal worksheet. </t>
  </si>
  <si>
    <t>Use the 'Next sheet' button to go the next sheet and continue your investigation!</t>
  </si>
  <si>
    <t>Select a response ↓</t>
  </si>
  <si>
    <t xml:space="preserve">
Be aware! Refreshing the webpage while using Excel for the web will reset the workbook. Do not refresh until you have completed your lesson and printed your student journal.</t>
  </si>
  <si>
    <t>Check understanding</t>
  </si>
  <si>
    <t>Previous sheet</t>
  </si>
  <si>
    <t>Did you know… ?</t>
  </si>
  <si>
    <t>Check out awesome facts and fin-tastic information about these Southern Resident orcas!</t>
  </si>
  <si>
    <t>Select the cell D7 and use the dropdown using Alt plus Down Arrow to select different information to view about where Southern Resident orcas live. You can read this text in D9.</t>
  </si>
  <si>
    <t>Southern residents live in the Salish Sea, which is on the northeastern side of the Pacific Ocean.</t>
  </si>
  <si>
    <t>Select the cell K7 and use the dropdown using Alt plus Down Arrow to select different information to view about how big is an orca. You can read this text in K9.</t>
  </si>
  <si>
    <t>Where do Southern Resident orcas live?</t>
  </si>
  <si>
    <t>How big is an orca?</t>
  </si>
  <si>
    <t xml:space="preserve">Orcas can be up to 30-35 feet in length. </t>
  </si>
  <si>
    <t>Select a map ↓</t>
  </si>
  <si>
    <t>Select a comparison ↓</t>
  </si>
  <si>
    <t>Select the cell D21 and use the dropdown using Alt plus Down Arrow to select different information to view about how orcas use sound. You can read this text in D23.</t>
  </si>
  <si>
    <t>Orcas use echolocation to find prey. They use tail slaps to warn other animals, or signal other orcas. They use whistles and songs to socialize with each other.</t>
  </si>
  <si>
    <t>Select the cell K21 and use the dropdown using Alt plus Down Arrow to select different information to view about how to identify an orca. You can read this text in K23.</t>
  </si>
  <si>
    <t>Orcas can be identified by their fin size, fin notches, and saddle patch directly behind their fin.</t>
  </si>
  <si>
    <t>On Excel for Windows, you can use Ctrl plus Page Up to go to the previous sheet, and Ctrl plus Page Down to go to the next sheet. On Excel for the web, you can use Ctrl plus Alt plus Page Up to go to the previous sheet, and Ctrl plus Alt plus Page Down to go to the next sheet.</t>
  </si>
  <si>
    <t>Select a method ↓</t>
  </si>
  <si>
    <t>Select an identifier ↓</t>
  </si>
  <si>
    <t>Introducing Kiki's family, J pod</t>
  </si>
  <si>
    <t xml:space="preserve">In this activity, you will see cells with an icon to the left of the text. This is a symbol for a data type card. 
Data types link a cell to additional related information; you just have to select the card icon to learn more! </t>
  </si>
  <si>
    <t>Open the data card for Tahlequah, the orca, by selecting cell D10, then pressing Ctrl plus Shift plus F5.</t>
  </si>
  <si>
    <t>Killer whales, also known as orcas, are very social creatures. Let's use a new Excel feature called linked data types to learn a little about Kiki's Southern Resident orca pod, the J pod!</t>
  </si>
  <si>
    <t>Learn more about different J pod orcas by selecting the dropdown in D16. Press Alt plus Down to select different orcas. To the right of each selection are cells that list the orcas gender, identification number, lifespan, age, number of children, and mother.</t>
  </si>
  <si>
    <t>Social groups are very important to orcas. Within a single pod, orcas sleep, hunt, and care for each other in smaller family groups, headed by the eldest female among them.</t>
  </si>
  <si>
    <t>Introduction to data cards</t>
  </si>
  <si>
    <t>Learn more about different J pod matriarchs by selecting the dropdown in D24. Press Alt plus Down to select different orcas. Below in cells D27 through I32 are lists of the orcas children and grandchildren.</t>
  </si>
  <si>
    <t>Open a data card by selecting the icon next to "J35 Tahlequah" below. Can you find what year she was born?</t>
  </si>
  <si>
    <t>Notice the dropdown menu below with the data type for "J53 Kiki" and other J pod orcas. To the right are columns of data from the orca's data card. Selecting a different orca from the dropdown will update the data to the right for that individual orca. Try it out to meet new orcas!</t>
  </si>
  <si>
    <t>Select an orca ↓</t>
  </si>
  <si>
    <t>ID</t>
  </si>
  <si>
    <t>Lifespan</t>
  </si>
  <si>
    <t>Age</t>
  </si>
  <si>
    <t>Children</t>
  </si>
  <si>
    <t>Social groups are very important to orcas. Within a single pod, orcas sleep, hunt, and care for each other in smaller family groups, headed by the eldest female among them.
Learn about some of these family connections by investigating a few of these matriarchs!</t>
  </si>
  <si>
    <t>Select a matriarch ↓</t>
  </si>
  <si>
    <t>Grandchildren</t>
  </si>
  <si>
    <t>Use data types to learn about Kiki's family</t>
  </si>
  <si>
    <t>In this activity, you will fill out Kiki's family tree. You will start with her data card found in V10, and use that to determine who was Kiki's mom (M21), who was Kiki's grandma (E17), and who were Kiki's siblings (V17, V25, and V31). Answer each using dropdowns, accessed by Alt plus down.</t>
  </si>
  <si>
    <t>Go to cell V7 first, and use Ctrl plus Shift plus F5 to open up Kiki's data card. Kiki's mother and grandmother are listed. Use that information to select the correct name for Kiki's mom in M21 and Kiki's grandma in E17.</t>
  </si>
  <si>
    <t>Orcas form very strong family structures. Let's use data types to learn a little about Kiki the orca and her family!</t>
  </si>
  <si>
    <t>After successfully answering Kiki's mom, access her data card in M21 and find the names of her children. Select their names in cells V17, V25, and V31.</t>
  </si>
  <si>
    <t>Compare Kiki's family tree to your own. How is it similar? How is it different? Use the reflection entry in cell E37 to fill out your response.</t>
  </si>
  <si>
    <t>Use Kiki's data card to fill out her family tree</t>
  </si>
  <si>
    <t>Kiki is a young female orca in the J pod. Her family tree is below. Can you work backwards and use the data cards to fill out her family tree?</t>
  </si>
  <si>
    <t>Learn about Kiki</t>
  </si>
  <si>
    <t>Birth</t>
  </si>
  <si>
    <t>Death</t>
  </si>
  <si>
    <t>↑ START HERE</t>
  </si>
  <si>
    <t>Who was Kiki's grandma? ↓</t>
  </si>
  <si>
    <t>Her oldest sibling? ↓</t>
  </si>
  <si>
    <t>Who was Kiki's mom? ↓</t>
  </si>
  <si>
    <t>Her second oldest sibling? ↓</t>
  </si>
  <si>
    <t>Kiki's grandpa - unknown</t>
  </si>
  <si>
    <t>Kiki's dad - unknown</t>
  </si>
  <si>
    <t>Third oldest sibling? ↓</t>
  </si>
  <si>
    <t>Reflection</t>
  </si>
  <si>
    <t>Badge progress</t>
  </si>
  <si>
    <t>Compare Kiki's family tree to your own. How is it similar? How is it different?</t>
  </si>
  <si>
    <t xml:space="preserve">Next sheet </t>
  </si>
  <si>
    <t>Learn orca taxonomy</t>
  </si>
  <si>
    <t xml:space="preserve">Excel's custom linked data types feature expands the data available from a single cell. Use the resources below to learn more about orcas and the organisms they interact with in the Salish Sea. </t>
  </si>
  <si>
    <t xml:space="preserve">You can select the data type in cell D9 to learn more about killer whales. Open the data card in the same process as before, with Ctrl plus Shift plus F5. </t>
  </si>
  <si>
    <t>We can use the data type created for these animals to research the taxonomy of the different creatures. Taxonomy is the science of naming and classifying different types of animals into groups: domain, kingdom, phylum, class, order, family, genus, and species. Use the dropdown below, containing different organisms found in the Salish Sea and surrounding area, to learn about their taxonomies.</t>
  </si>
  <si>
    <t>Use the dropdown in cell D17 to select different creatures living in the salish sea, and learn about their taxonomy. Change selections with Alt plus Down.</t>
  </si>
  <si>
    <t>Learn about linked data types</t>
  </si>
  <si>
    <t>By exploring the card from a linked data type, you can see images, get descriptions, and increase your understanding of the topic! 
Click on the data type symbol below to the left of "killer whale." Notice all the different information available on this card.
What is the scientific name of a killer whale?</t>
  </si>
  <si>
    <t>Select an animal ↓</t>
  </si>
  <si>
    <t>What am I?</t>
  </si>
  <si>
    <t>Use data types to understand taxonomy</t>
  </si>
  <si>
    <t xml:space="preserve"> </t>
  </si>
  <si>
    <t>Compare and contrast the taxonomy of different species of sea life using data types.</t>
  </si>
  <si>
    <t xml:space="preserve"> Orcas are the biggest animal in the oceanic dolphin family. Let's learn how orcas are related to other living things!</t>
  </si>
  <si>
    <t>Explore the text in D13 through E64 to see how closely orcas are related to other organisms in the Salish Sea.</t>
  </si>
  <si>
    <t>The broadest taxonomy level here is called domain. Killer whales are in the domain Eukarya, which includes all forms of life that are not bacteria or archaea.</t>
  </si>
  <si>
    <t>The next taxonomy level here is called kingdom. Killer whales are in the kingdom Animalia. Answer why Seawrack, a plant, is not in this kingdom by using the dropdown in cell AB21, and use Alt plus Down.</t>
  </si>
  <si>
    <t>The next taxonomy level here is called phylum. Killer whales are in the phylum chordata. Answer why the dungeness crab, a crustacean, is not in this phylum by using the dropdown in cell X27, and use Alt plus Down.</t>
  </si>
  <si>
    <t>Compare and contrast the taxonomy of different species of sea life using data types</t>
  </si>
  <si>
    <t>The next taxonomy level here is called class. Killer whales are in the class mammalia. Answer why the chinook salmon, a fish, is not in this class by using the dropdown in cell S33, and use Alt plus Down.</t>
  </si>
  <si>
    <t>Explore below to see how closely orcas are related to other organisms in the Salish Sea.</t>
  </si>
  <si>
    <t>The next taxonomy level here is called order. Killer whales are in the class cetacea. Answer why the harbor seal is not in this class by using the dropdown in cell O39, and use Alt plus Down.</t>
  </si>
  <si>
    <t>The next taxonomy level here is called family. Killer whales are in the family delphinidae. Answer why the humpback whale is not in this class by using the dropdown in cell K45, and use Alt plus Down.</t>
  </si>
  <si>
    <t>The next taxonomy level here is called genus. Killer whales are in the genus orcinus. Answer why the common dolphin is not in this genus by using the dropdown in cell I51, and use Alt plus Down.</t>
  </si>
  <si>
    <t>The next taxonomy level here is called species. Killer whales are in the species orcinus orca. Answer why the genus and species for orca both appear the same by using the dropdown in cell I63, and use Alt plus Down.</t>
  </si>
  <si>
    <t>Reflect on taxonomy in cell D73. Use the data cards to compare and contrast humans and orcas, found in cells I70 and M70.</t>
  </si>
  <si>
    <t>Domain</t>
  </si>
  <si>
    <t>Why is seawrack not in this Kingdom?</t>
  </si>
  <si>
    <t>Why is the crab not in this Phylum?</t>
  </si>
  <si>
    <t>Why is the salmon not in this Class?</t>
  </si>
  <si>
    <t>Why is the sea lion not in this Order?</t>
  </si>
  <si>
    <t>Why is the humpback whale not in this Family?</t>
  </si>
  <si>
    <t>Why is the common dolphin not in this Genus?</t>
  </si>
  <si>
    <t>Why is the Genus and Species the same?</t>
  </si>
  <si>
    <t>Use the data cards to compare and contrast humans and orcas.</t>
  </si>
  <si>
    <t>Find J pod orcas based on their sighting locations</t>
  </si>
  <si>
    <t>Learn formulas to understand where the Southern Resident orcas live and hunt. Excel uses what is called "dot notation" to retrieve and expose more information from linked data types into cells.</t>
  </si>
  <si>
    <t>Learn about San Juan Island using the cell D9, and use Ctrl plus Shift plus F5 to view the data card.</t>
  </si>
  <si>
    <t>Learn formulas to understand where the Southern Resident orcas live and hunt. Excel uses what is called "dot notation" to retrieve and expose more information from linked data types into cells. 
Let's use data types and dot notation to explore Southern Resident orca sighting locations!</t>
  </si>
  <si>
    <t>To learn about how formulas can pull data from the data type, select the cell E9, and observe the formula. The formula is D9.population, which displays the population data for the data type in cell D9.</t>
  </si>
  <si>
    <t>Use the dropdown in cell D17 using Alt plus Down to explore different islands where orcas have been seen. Next to this selection are the population in E17, Latitude in F17, and Longitude in H17. Maps and images are found in D20, E20, F20, and H20.</t>
  </si>
  <si>
    <t>Learn how to pull information from a data type with dot notation</t>
  </si>
  <si>
    <t>Select the yellow highlighted cell to the right of "San Juan Island". See (using the formula bar) how it uses linked data to cell D9, San Juan Island.</t>
  </si>
  <si>
    <t>Population</t>
  </si>
  <si>
    <t>What makes linked data even more helpful is that Excel can update information on your behalf if the reference cell (which above was D9) gets changed. See this in action below and learn about the different islands in the Salish Sea where the J pod hunts. Use the dropdown to choose an island.</t>
  </si>
  <si>
    <t>Select an island ↓</t>
  </si>
  <si>
    <t>Latitude</t>
  </si>
  <si>
    <t>Longitude</t>
  </si>
  <si>
    <t>Use formulas to visualize where the Southern Resident orcas live and hunt</t>
  </si>
  <si>
    <t xml:space="preserve"> The Southern Resident orcas are special in that they primarily stay in the Salish Sea. Let's write some formulas to fill a table with location data quickly, to find islands where people have seen orcas! </t>
  </si>
  <si>
    <t>Use the dropdown in cell D8 to change the text in cell D9, teaching how to use a table and dot notation formulas to plot locations on a map.</t>
  </si>
  <si>
    <t>Step 1, Use a table. A table makes things faster and easier when working with data types and can automatically fill with the data that you select. Here, we will discover how to use these data types to add the points to a chart!</t>
  </si>
  <si>
    <t>Step 2, Use formulas. The table below has two blank columns ready for data! Rather than entering data manually, we can use a formula to fill all these locations at once! These formulas will use a type of formula called "dot notation".</t>
  </si>
  <si>
    <t>Step 3, Add latitude. Start by selecting cell E13 then start creating the formula by typing "=" in the cell. Next, enter "D13.latitude".
Hit enter, and you have the latitude for every island!</t>
  </si>
  <si>
    <t>Use dot notation formulas to visualize data easily</t>
  </si>
  <si>
    <t>Step 4, Add longitude. Repeat this process for "longitude" in the next column. Selecting the first cell under "longitude", type "=". Next, enter "D13.longitude". 
Hit enter, and now you have the location of each island!</t>
  </si>
  <si>
    <t>Select a learning step ↓</t>
  </si>
  <si>
    <t xml:space="preserve">Step 5, View on a chart. Notice the chart that this chart was all ready for these coordinates, and immediately visualized those locations once the formulas were complete! </t>
  </si>
  <si>
    <t>Enter your reflection response in cell D26. Look at the list of existing data about islands on the right. Which topics are interesting?  What topics should be added? Explain why.</t>
  </si>
  <si>
    <t>Look at the list of existing data about islands on the right. Which topics are interesting?  What topics should be added? Explain why.</t>
  </si>
  <si>
    <t>This page will be fully printable once you complete all activities in this workbook.</t>
  </si>
  <si>
    <t>Enter your name in cell D4 once you have completed all your activities, to have it appear on this certificate.</t>
  </si>
  <si>
    <t>Student journal</t>
  </si>
  <si>
    <t>Hello! This student journal will fill automatically as you enter your thoughts to the reflection on each activity page. Once you have completed each reflection, you can PRINT TO PDF to send to your teacher as evidence of your hard work. Good luck!</t>
  </si>
  <si>
    <t>Student journal - Use data to research</t>
  </si>
  <si>
    <t>Enter your name in cell D4, date in D5, and class in D6, as applicable.</t>
  </si>
  <si>
    <t>Cells D11, D20, and D29 all autofill responses from previous activities. Complete the written reflection on previous sheets to fill in here.</t>
  </si>
  <si>
    <t>Date</t>
  </si>
  <si>
    <r>
      <t xml:space="preserve">Hello! This student journal will fill automatically as you enter your thoughts to the reflection on each activity page. Once you have completed each reflection, you can </t>
    </r>
    <r>
      <rPr>
        <b/>
        <sz val="11"/>
        <color theme="1"/>
        <rFont val="Calibri"/>
        <family val="2"/>
      </rPr>
      <t>PRINT TO PDF</t>
    </r>
    <r>
      <rPr>
        <sz val="11"/>
        <color theme="1"/>
        <rFont val="Calibri"/>
        <family val="2"/>
      </rPr>
      <t xml:space="preserve"> to send to your teacher as evidence of your hard work. </t>
    </r>
  </si>
  <si>
    <t>1. Compare Kiki's family tree to your own. How is it similar? How is it different?</t>
  </si>
  <si>
    <t>2. Use the data cards to compare and contrast humans and orcas.</t>
  </si>
  <si>
    <t>3. Look at the list of existing data about islands on the right. Which topics are interesting?  What topics should be added? Explain why.</t>
  </si>
  <si>
    <t>Page</t>
  </si>
  <si>
    <t>Question</t>
  </si>
  <si>
    <t>QuestionName</t>
  </si>
  <si>
    <t>Entry</t>
  </si>
  <si>
    <t>Correct if</t>
  </si>
  <si>
    <t>Section</t>
  </si>
  <si>
    <t>Total count</t>
  </si>
  <si>
    <t>Response</t>
  </si>
  <si>
    <t>Value</t>
  </si>
  <si>
    <t>Percentage</t>
  </si>
  <si>
    <t>P1_Q1</t>
  </si>
  <si>
    <t>Complete</t>
  </si>
  <si>
    <t>P1_Q2</t>
  </si>
  <si>
    <t>Incomplete</t>
  </si>
  <si>
    <t>P1_Q3</t>
  </si>
  <si>
    <t>P1_Q4</t>
  </si>
  <si>
    <t>State</t>
  </si>
  <si>
    <t>P1_Q5</t>
  </si>
  <si>
    <t>Reflection_P1</t>
  </si>
  <si>
    <t>Fill</t>
  </si>
  <si>
    <t>Text style</t>
  </si>
  <si>
    <t>P2_Q1</t>
  </si>
  <si>
    <t>Done</t>
  </si>
  <si>
    <t>Yellow</t>
  </si>
  <si>
    <t>Black</t>
  </si>
  <si>
    <t>Italics</t>
  </si>
  <si>
    <t>P2_Q2</t>
  </si>
  <si>
    <t>Not done</t>
  </si>
  <si>
    <t>White</t>
  </si>
  <si>
    <t>None</t>
  </si>
  <si>
    <t>P2_Q3</t>
  </si>
  <si>
    <t>Name entered</t>
  </si>
  <si>
    <t>Light gray</t>
  </si>
  <si>
    <t>P2_Q4</t>
  </si>
  <si>
    <t>P2_Q5</t>
  </si>
  <si>
    <t>P2_Q6</t>
  </si>
  <si>
    <t>P2_Q7</t>
  </si>
  <si>
    <t>Reflection_P2</t>
  </si>
  <si>
    <t>P3_Q1</t>
  </si>
  <si>
    <t>P3_Q2</t>
  </si>
  <si>
    <t>Reflection_P3</t>
  </si>
  <si>
    <t>Teacher lesson plan</t>
  </si>
  <si>
    <t xml:space="preserve">Teachers can use this page to find all the learning objectives (D10 through D12), instructions (D15 through D27), and standards met in this workbook (C31 through C37). </t>
  </si>
  <si>
    <t>Teacher lesson plan – Use data to research</t>
  </si>
  <si>
    <t>On Excel for Windows, you can use Ctrl plus Page Up to go to the previous sheet. On Excel for the web, you can use Ctrl plus Alt plus Page Up to go to the previous sheet.</t>
  </si>
  <si>
    <t>INTRODUCTION</t>
  </si>
  <si>
    <t xml:space="preserve">In this lesson, students explore data related to the Southern Resident orca whales, an endangered population of orcas living in the Salish Sea of the Pacific Northwest. This self-paced Excel activity introduces data cards and how they can be used in the context of exploring the Southern Resident orca family trees, understanding orca taxonomy and investigating orca sighting locations. </t>
  </si>
  <si>
    <t>LEARNING OBJECTIVES</t>
  </si>
  <si>
    <t>Access information in Excel using data types and data cards.</t>
  </si>
  <si>
    <t>Compare and contrast taxonomic data to explore differences and similarities of organisms using data types.</t>
  </si>
  <si>
    <t>Use data cards to access geographic data related to orca sighting locations.</t>
  </si>
  <si>
    <t>INSTRUCTIONS</t>
  </si>
  <si>
    <t>Open the "Use data to research" workbook and familiarize yourself with how to use it by reading the Instructions worksheet in the workbook.</t>
  </si>
  <si>
    <t>Complete the guided steps in the workbook for each of the worksheets prior to introducing the activity to your students.</t>
  </si>
  <si>
    <t>Instruct your students in locating and opening the Excel workbook. Introduce the students to the lesson using the Introduction worksheet and video link. Then show them how to navigate the workbook and earn their Orca Research badge on the Instructions worksheet.</t>
  </si>
  <si>
    <t>With guided or independent study, have students complete each of the lesson sections in the workbook. Student reflections will auto populate in the student journal and can be saved as a PDF and submitted for credit. Use these responses to initiate a class share out and discussion.</t>
  </si>
  <si>
    <t>STANDARDS</t>
  </si>
  <si>
    <t>NGSS</t>
  </si>
  <si>
    <t xml:space="preserve">MS-LS4-2. Apply scientific ideas to construct an explanation for the anatomical similarities and differences among modern organisms and between modern and fossil organisms to infer evolutionary relationships. </t>
  </si>
  <si>
    <t>ISTE</t>
  </si>
  <si>
    <t>5b – Students collect data or identify relevant data sets, use digital tools to analyze them, and represent data in various ways to facilitate problem-solving and decision-making.</t>
  </si>
  <si>
    <t>LEARNING EXTENSION</t>
  </si>
  <si>
    <t>Visit the lesson webpage at https://aka.ms/OrcaData for learning extensions, including a career corner, reflections in Flipgrid, and mini-activities like writing a letter to your government. If you have feedback, let us know at https://aka.ms/email-help.</t>
  </si>
  <si>
    <t>Project extensions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</si>
</sst>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3">
    <numFmt numFmtId="164" formatCode="#,##0.000"/>
    <numFmt numFmtId="166" formatCode=";\ ;&quot;Enter your name here&quot;;"/>
    <numFmt numFmtId="167" formatCode="0;0;&quot;Enter your name here&quot;"/>
  </numFmts>
  <fonts count="62">
    <font>
      <sz val="11"/>
      <color theme="1"/>
      <name val="Segoe UI"/>
      <family val="2"/>
      <scheme val="minor"/>
    </font>
    <font>
      <sz val="8"/>
      <name val="Segoe UI"/>
      <family val="2"/>
      <scheme val="minor"/>
    </font>
    <font>
      <u/>
      <sz val="11"/>
      <color theme="10"/>
      <name val="Segoe UI"/>
      <family val="2"/>
      <scheme val="minor"/>
    </font>
    <font>
      <b/>
      <sz val="11"/>
      <color theme="1"/>
      <name val="Segoe UI"/>
      <family val="2"/>
      <scheme val="minor"/>
    </font>
    <font>
      <sz val="11"/>
      <color theme="1"/>
      <name val="Calibri"/>
      <family val="2"/>
    </font>
    <font>
      <sz val="5"/>
      <color theme="1"/>
      <name val="Calibri"/>
      <family val="2"/>
    </font>
    <font>
      <sz val="14"/>
      <color theme="1"/>
      <name val="Calibri"/>
      <family val="2"/>
    </font>
    <font>
      <sz val="8"/>
      <color theme="1"/>
      <name val="Calibri"/>
      <family val="2"/>
    </font>
    <font>
      <sz val="11"/>
      <color theme="0"/>
      <name val="Calibri"/>
      <family val="2"/>
    </font>
    <font>
      <b/>
      <sz val="9"/>
      <color theme="1"/>
      <name val="Calibri"/>
      <family val="2"/>
    </font>
    <font>
      <b/>
      <sz val="8"/>
      <color theme="1"/>
      <name val="Calibri"/>
      <family val="2"/>
    </font>
    <font>
      <b/>
      <sz val="8"/>
      <color theme="0"/>
      <name val="Calibri"/>
      <family val="2"/>
    </font>
    <font>
      <b/>
      <sz val="11"/>
      <color theme="1"/>
      <name val="Calibri"/>
      <family val="2"/>
    </font>
    <font>
      <b/>
      <sz val="14"/>
      <color theme="1"/>
      <name val="Calibri"/>
      <family val="2"/>
    </font>
    <font>
      <b/>
      <sz val="16"/>
      <color theme="1"/>
      <name val="Calibri"/>
      <family val="2"/>
    </font>
    <font>
      <sz val="12"/>
      <color theme="1"/>
      <name val="Calibri"/>
      <family val="2"/>
    </font>
    <font>
      <sz val="16"/>
      <color theme="1"/>
      <name val="Calibri"/>
      <family val="2"/>
    </font>
    <font>
      <sz val="10.5"/>
      <color theme="1"/>
      <name val="Calibri"/>
      <family val="2"/>
    </font>
    <font>
      <sz val="7"/>
      <color theme="1"/>
      <name val="Calibri"/>
      <family val="2"/>
    </font>
    <font>
      <sz val="14"/>
      <color rgb="FF2F2F2F"/>
      <name val="Calibri"/>
      <family val="2"/>
    </font>
    <font>
      <sz val="6"/>
      <color theme="1"/>
      <name val="Calibri"/>
      <family val="2"/>
    </font>
    <font>
      <b/>
      <sz val="16"/>
      <color rgb="FFFFFFFF"/>
      <name val="Calibri"/>
      <family val="2"/>
    </font>
    <font>
      <sz val="11"/>
      <color rgb="FFFFFFFF"/>
      <name val="Calibri"/>
      <family val="2"/>
    </font>
    <font>
      <b/>
      <sz val="18"/>
      <color theme="1"/>
      <name val="Calibri"/>
      <family val="2"/>
    </font>
    <font>
      <sz val="10"/>
      <color theme="1"/>
      <name val="Calibri"/>
      <family val="2"/>
    </font>
    <font>
      <b/>
      <sz val="12"/>
      <color theme="1"/>
      <name val="Calibri"/>
      <family val="2"/>
    </font>
    <font>
      <i/>
      <sz val="11"/>
      <color theme="1"/>
      <name val="Calibri"/>
      <family val="2"/>
    </font>
    <font>
      <sz val="9"/>
      <color theme="1"/>
      <name val="Calibri"/>
      <family val="2"/>
    </font>
    <font>
      <sz val="13"/>
      <color theme="4" tint="-0.249977111117893"/>
      <name val="Calibri"/>
      <family val="2"/>
    </font>
    <font>
      <b/>
      <sz val="24"/>
      <color theme="1"/>
      <name val="Calibri"/>
      <family val="2"/>
    </font>
    <font>
      <sz val="11"/>
      <color theme="1"/>
      <name val="Calibri"/>
      <family val="2"/>
    </font>
    <font>
      <b/>
      <u/>
      <sz val="11"/>
      <color theme="4" tint="-0.249977111117893"/>
      <name val="Calibri"/>
      <family val="2"/>
    </font>
    <font>
      <b/>
      <u/>
      <sz val="11"/>
      <color theme="9"/>
      <name val="Calibri"/>
      <family val="2"/>
    </font>
    <font>
      <b/>
      <u/>
      <sz val="11"/>
      <color theme="8" tint="-0.499984740745262"/>
      <name val="Calibri"/>
      <family val="2"/>
    </font>
    <font>
      <b/>
      <u/>
      <sz val="11"/>
      <color rgb="FF7030A0"/>
      <name val="Calibri"/>
      <family val="2"/>
    </font>
    <font>
      <b/>
      <sz val="11"/>
      <color rgb="FF005046"/>
      <name val="Calibri"/>
      <family val="2"/>
    </font>
    <font>
      <sz val="11"/>
      <color theme="6" tint="-0.249977111117893"/>
      <name val="Calibri"/>
      <family val="2"/>
    </font>
    <font>
      <sz val="11"/>
      <color rgb="FF1D2F4D"/>
      <name val="Calibri"/>
      <family val="2"/>
    </font>
    <font>
      <b/>
      <sz val="11"/>
      <color rgb="FF16243A"/>
      <name val="Calibri"/>
      <family val="2"/>
    </font>
    <font>
      <sz val="12"/>
      <color theme="0"/>
      <name val="Calibri"/>
      <family val="2"/>
    </font>
    <font>
      <sz val="9"/>
      <color rgb="FF6A4B16"/>
      <name val="Calibri"/>
      <family val="2"/>
    </font>
    <font>
      <sz val="11"/>
      <color rgb="FF422C0E"/>
      <name val="Calibri"/>
      <family val="2"/>
    </font>
    <font>
      <sz val="12"/>
      <color rgb="FF422C0E"/>
      <name val="Calibri"/>
      <family val="2"/>
    </font>
    <font>
      <sz val="11"/>
      <color rgb="FF6A4B16"/>
      <name val="Calibri"/>
      <family val="2"/>
    </font>
    <font>
      <b/>
      <sz val="14"/>
      <color rgb="FF2F2F2F"/>
      <name val="Calibri"/>
      <family val="2"/>
    </font>
    <font>
      <sz val="12"/>
      <color rgb="FF003E6A"/>
      <name val="Calibri"/>
      <family val="2"/>
    </font>
    <font>
      <sz val="14"/>
      <color theme="0"/>
      <name val="Calibri"/>
      <family val="2"/>
    </font>
    <font>
      <sz val="14"/>
      <color rgb="FF003E6A"/>
      <name val="Calibri"/>
      <family val="2"/>
    </font>
    <font>
      <sz val="11"/>
      <color rgb="FF003E6A"/>
      <name val="Calibri"/>
      <family val="2"/>
    </font>
    <font>
      <b/>
      <sz val="20"/>
      <color theme="1"/>
      <name val="Calibri"/>
      <family val="2"/>
    </font>
    <font>
      <sz val="20"/>
      <color theme="1"/>
      <name val="Calibri"/>
      <family val="2"/>
    </font>
    <font>
      <sz val="9"/>
      <color theme="0"/>
      <name val="Calibri"/>
      <family val="2"/>
    </font>
    <font>
      <sz val="11"/>
      <color theme="2"/>
      <name val="Calibri"/>
      <family val="2"/>
    </font>
    <font>
      <sz val="14"/>
      <name val="Calibri"/>
      <family val="2"/>
    </font>
    <font>
      <sz val="11"/>
      <color theme="0"/>
      <name val="Segoe UI"/>
      <family val="2"/>
      <scheme val="minor"/>
    </font>
    <font>
      <b/>
      <sz val="18"/>
      <color rgb="FFFFFFFF"/>
      <name val="Calibri"/>
      <family val="2"/>
    </font>
    <font>
      <sz val="10"/>
      <name val="Calibri"/>
      <family val="2"/>
    </font>
    <font>
      <b/>
      <sz val="11"/>
      <name val="Calibri"/>
      <family val="2"/>
    </font>
    <font>
      <b/>
      <i/>
      <sz val="10"/>
      <color rgb="FFC00000"/>
      <name val="Calibri"/>
      <family val="2"/>
    </font>
    <font>
      <sz val="11"/>
      <name val="Calibri"/>
      <family val="2"/>
    </font>
    <font>
      <b/>
      <i/>
      <sz val="12"/>
      <color rgb="FFC00000"/>
      <name val="Calibri"/>
      <family val="2"/>
    </font>
    <font>
      <b/>
      <sz val="11"/>
      <color theme="0"/>
      <name val="Calibri"/>
      <family val="2"/>
    </font>
  </fonts>
  <fills count="37">
    <fill>
      <patternFill patternType="none"/>
    </fill>
    <fill>
      <patternFill patternType="gray125"/>
    </fill>
    <fill>
      <patternFill patternType="solid">
        <fgColor theme="2"/>
        <bgColor indexed="64"/>
      </patternFill>
    </fill>
    <fill>
      <patternFill patternType="solid">
        <fgColor theme="0"/>
        <bgColor indexed="64"/>
      </patternFill>
    </fill>
    <fill>
      <patternFill patternType="solid">
        <fgColor theme="4" tint="0.79998168889431442"/>
        <bgColor indexed="64"/>
      </patternFill>
    </fill>
    <fill>
      <patternFill patternType="solid">
        <fgColor theme="6" tint="0.79998168889431442"/>
        <bgColor indexed="64"/>
      </patternFill>
    </fill>
    <fill>
      <patternFill patternType="solid">
        <fgColor theme="4" tint="0.79998168889431442"/>
        <bgColor theme="4" tint="0.79998168889431442"/>
      </patternFill>
    </fill>
    <fill>
      <patternFill patternType="solid">
        <fgColor rgb="FFE5F4FF"/>
        <bgColor indexed="64"/>
      </patternFill>
    </fill>
    <fill>
      <patternFill patternType="solid">
        <fgColor rgb="FF4BB5FF"/>
        <bgColor indexed="64"/>
      </patternFill>
    </fill>
    <fill>
      <patternFill patternType="solid">
        <fgColor rgb="FF61BEFF"/>
        <bgColor indexed="64"/>
      </patternFill>
    </fill>
    <fill>
      <patternFill patternType="solid">
        <fgColor rgb="FF77C7FF"/>
        <bgColor indexed="64"/>
      </patternFill>
    </fill>
    <fill>
      <patternFill patternType="solid">
        <fgColor rgb="FF8DD0FF"/>
        <bgColor indexed="64"/>
      </patternFill>
    </fill>
    <fill>
      <patternFill patternType="solid">
        <fgColor rgb="FFA3D9FF"/>
        <bgColor indexed="64"/>
      </patternFill>
    </fill>
    <fill>
      <patternFill patternType="solid">
        <fgColor rgb="FFB9E2FF"/>
        <bgColor indexed="64"/>
      </patternFill>
    </fill>
    <fill>
      <patternFill patternType="solid">
        <fgColor rgb="FFCFEBFF"/>
        <bgColor indexed="64"/>
      </patternFill>
    </fill>
    <fill>
      <patternFill patternType="solid">
        <fgColor theme="8" tint="0.79998168889431442"/>
        <bgColor indexed="64"/>
      </patternFill>
    </fill>
    <fill>
      <patternFill patternType="solid">
        <fgColor rgb="FFF2F2F2"/>
        <bgColor indexed="64"/>
      </patternFill>
    </fill>
    <fill>
      <patternFill patternType="solid">
        <fgColor rgb="FFFFFFFF"/>
        <bgColor indexed="64"/>
      </patternFill>
    </fill>
    <fill>
      <patternFill patternType="solid">
        <fgColor theme="4" tint="-0.499984740745262"/>
        <bgColor indexed="64"/>
      </patternFill>
    </fill>
    <fill>
      <patternFill patternType="solid">
        <fgColor theme="4" tint="-0.249977111117893"/>
        <bgColor indexed="64"/>
      </patternFill>
    </fill>
    <fill>
      <patternFill patternType="solid">
        <fgColor theme="6" tint="0.79998168889431442"/>
        <bgColor rgb="FF000000"/>
      </patternFill>
    </fill>
    <fill>
      <patternFill patternType="solid">
        <fgColor theme="4" tint="0.79998168889431442"/>
        <bgColor rgb="FF000000"/>
      </patternFill>
    </fill>
    <fill>
      <patternFill patternType="solid">
        <fgColor theme="8" tint="0.79998168889431442"/>
        <bgColor rgb="FF000000"/>
      </patternFill>
    </fill>
    <fill>
      <patternFill patternType="solid">
        <fgColor rgb="FF000000"/>
        <bgColor indexed="64"/>
      </patternFill>
    </fill>
    <fill>
      <patternFill patternType="solid">
        <fgColor rgb="FFE4ECF8"/>
        <bgColor indexed="64"/>
      </patternFill>
    </fill>
    <fill>
      <patternFill patternType="solid">
        <fgColor rgb="FFD8FEEA"/>
        <bgColor indexed="64"/>
      </patternFill>
    </fill>
    <fill>
      <patternFill patternType="solid">
        <fgColor rgb="FF1D2F4D"/>
        <bgColor indexed="64"/>
      </patternFill>
    </fill>
    <fill>
      <patternFill patternType="solid">
        <fgColor rgb="FFFFF8EC"/>
        <bgColor indexed="64"/>
      </patternFill>
    </fill>
    <fill>
      <patternFill patternType="solid">
        <fgColor rgb="FFD7EEFF"/>
        <bgColor indexed="64"/>
      </patternFill>
    </fill>
    <fill>
      <patternFill patternType="solid">
        <fgColor rgb="FF003E6A"/>
        <bgColor indexed="64"/>
      </patternFill>
    </fill>
    <fill>
      <patternFill patternType="solid">
        <fgColor rgb="FFEBF7FF"/>
        <bgColor indexed="64"/>
      </patternFill>
    </fill>
    <fill>
      <patternFill patternType="solid">
        <fgColor rgb="FF005B9F"/>
        <bgColor indexed="64"/>
      </patternFill>
    </fill>
    <fill>
      <patternFill patternType="solid">
        <fgColor rgb="FFB5FFD8"/>
        <bgColor indexed="64"/>
      </patternFill>
    </fill>
    <fill>
      <patternFill patternType="solid">
        <fgColor theme="1"/>
        <bgColor indexed="64"/>
      </patternFill>
    </fill>
    <fill>
      <patternFill patternType="solid">
        <fgColor rgb="FF243A5E"/>
        <bgColor indexed="64"/>
      </patternFill>
    </fill>
    <fill>
      <patternFill patternType="solid">
        <fgColor theme="4"/>
        <bgColor theme="4"/>
      </patternFill>
    </fill>
    <fill>
      <patternFill patternType="solid">
        <fgColor theme="9" tint="0.79998168889431442"/>
        <bgColor theme="9" tint="0.79998168889431442"/>
      </patternFill>
    </fill>
  </fills>
  <borders count="136">
    <border>
      <left/>
      <right/>
      <top/>
      <bottom/>
      <diagonal/>
    </border>
    <border>
      <left style="medium">
        <color theme="4" tint="-0.499984740745262"/>
      </left>
      <right/>
      <top style="medium">
        <color theme="4" tint="-0.499984740745262"/>
      </top>
      <bottom style="medium">
        <color theme="4" tint="-0.499984740745262"/>
      </bottom>
      <diagonal/>
    </border>
    <border>
      <left/>
      <right/>
      <top style="medium">
        <color theme="4" tint="-0.499984740745262"/>
      </top>
      <bottom style="medium">
        <color theme="4" tint="-0.499984740745262"/>
      </bottom>
      <diagonal/>
    </border>
    <border>
      <left/>
      <right style="medium">
        <color theme="4" tint="-0.499984740745262"/>
      </right>
      <top style="medium">
        <color theme="4" tint="-0.499984740745262"/>
      </top>
      <bottom style="medium">
        <color theme="4" tint="-0.499984740745262"/>
      </bottom>
      <diagonal/>
    </border>
    <border>
      <left/>
      <right/>
      <top style="medium">
        <color theme="4" tint="-0.499984740745262"/>
      </top>
      <bottom/>
      <diagonal/>
    </border>
    <border>
      <left style="medium">
        <color theme="4" tint="-0.499984740745262"/>
      </left>
      <right/>
      <top/>
      <bottom/>
      <diagonal/>
    </border>
    <border>
      <left style="medium">
        <color theme="4" tint="-0.499984740745262"/>
      </left>
      <right style="medium">
        <color theme="4" tint="-0.499984740745262"/>
      </right>
      <top style="medium">
        <color theme="4" tint="-0.499984740745262"/>
      </top>
      <bottom style="medium">
        <color theme="4" tint="-0.499984740745262"/>
      </bottom>
      <diagonal/>
    </border>
    <border>
      <left/>
      <right/>
      <top style="medium">
        <color indexed="64"/>
      </top>
      <bottom/>
      <diagonal/>
    </border>
    <border>
      <left style="medium">
        <color theme="6" tint="-0.499984740745262"/>
      </left>
      <right/>
      <top style="medium">
        <color theme="6" tint="-0.499984740745262"/>
      </top>
      <bottom style="medium">
        <color theme="6" tint="-0.499984740745262"/>
      </bottom>
      <diagonal/>
    </border>
    <border>
      <left/>
      <right/>
      <top style="medium">
        <color theme="6" tint="-0.499984740745262"/>
      </top>
      <bottom style="medium">
        <color theme="6" tint="-0.499984740745262"/>
      </bottom>
      <diagonal/>
    </border>
    <border>
      <left/>
      <right style="medium">
        <color theme="6" tint="-0.499984740745262"/>
      </right>
      <top style="medium">
        <color theme="6" tint="-0.499984740745262"/>
      </top>
      <bottom style="medium">
        <color theme="6" tint="-0.499984740745262"/>
      </bottom>
      <diagonal/>
    </border>
    <border>
      <left/>
      <right/>
      <top/>
      <bottom style="medium">
        <color theme="4" tint="-0.499984740745262"/>
      </bottom>
      <diagonal/>
    </border>
    <border>
      <left style="medium">
        <color theme="4" tint="-0.499984740745262"/>
      </left>
      <right/>
      <top style="medium">
        <color theme="4" tint="-0.499984740745262"/>
      </top>
      <bottom/>
      <diagonal/>
    </border>
    <border>
      <left/>
      <right style="medium">
        <color theme="4" tint="-0.499984740745262"/>
      </right>
      <top style="medium">
        <color theme="4" tint="-0.499984740745262"/>
      </top>
      <bottom/>
      <diagonal/>
    </border>
    <border>
      <left/>
      <right style="medium">
        <color theme="4" tint="-0.499984740745262"/>
      </right>
      <top/>
      <bottom/>
      <diagonal/>
    </border>
    <border>
      <left style="medium">
        <color theme="4" tint="-0.499984740745262"/>
      </left>
      <right/>
      <top/>
      <bottom style="medium">
        <color theme="4" tint="-0.499984740745262"/>
      </bottom>
      <diagonal/>
    </border>
    <border>
      <left/>
      <right style="medium">
        <color theme="4" tint="-0.499984740745262"/>
      </right>
      <top/>
      <bottom style="medium">
        <color theme="4" tint="-0.499984740745262"/>
      </bottom>
      <diagonal/>
    </border>
    <border>
      <left style="medium">
        <color theme="1"/>
      </left>
      <right style="medium">
        <color theme="1"/>
      </right>
      <top style="medium">
        <color theme="1"/>
      </top>
      <bottom style="medium">
        <color theme="1"/>
      </bottom>
      <diagonal/>
    </border>
    <border>
      <left/>
      <right/>
      <top/>
      <bottom style="medium">
        <color indexed="64"/>
      </bottom>
      <diagonal/>
    </border>
    <border>
      <left/>
      <right/>
      <top/>
      <bottom style="medium">
        <color theme="1"/>
      </bottom>
      <diagonal/>
    </border>
    <border>
      <left/>
      <right/>
      <top style="medium">
        <color theme="1"/>
      </top>
      <bottom/>
      <diagonal/>
    </border>
    <border>
      <left style="medium">
        <color theme="1"/>
      </left>
      <right/>
      <top style="medium">
        <color theme="1"/>
      </top>
      <bottom/>
      <diagonal/>
    </border>
    <border>
      <left/>
      <right style="medium">
        <color theme="1"/>
      </right>
      <top style="medium">
        <color theme="1"/>
      </top>
      <bottom/>
      <diagonal/>
    </border>
    <border>
      <left style="medium">
        <color theme="1"/>
      </left>
      <right/>
      <top/>
      <bottom/>
      <diagonal/>
    </border>
    <border>
      <left/>
      <right style="medium">
        <color theme="1"/>
      </right>
      <top/>
      <bottom/>
      <diagonal/>
    </border>
    <border>
      <left style="medium">
        <color theme="1"/>
      </left>
      <right/>
      <top/>
      <bottom style="medium">
        <color theme="1"/>
      </bottom>
      <diagonal/>
    </border>
    <border>
      <left/>
      <right style="medium">
        <color theme="1"/>
      </right>
      <top/>
      <bottom style="medium">
        <color theme="1"/>
      </bottom>
      <diagonal/>
    </border>
    <border>
      <left/>
      <right/>
      <top style="medium">
        <color theme="7" tint="-0.499984740745262"/>
      </top>
      <bottom style="medium">
        <color theme="7" tint="-0.499984740745262"/>
      </bottom>
      <diagonal/>
    </border>
    <border>
      <left style="medium">
        <color theme="6" tint="-0.499984740745262"/>
      </left>
      <right style="medium">
        <color theme="6" tint="-0.499984740745262"/>
      </right>
      <top style="medium">
        <color theme="6" tint="-0.499984740745262"/>
      </top>
      <bottom style="medium">
        <color theme="6" tint="-0.499984740745262"/>
      </bottom>
      <diagonal/>
    </border>
    <border>
      <left style="medium">
        <color indexed="64"/>
      </left>
      <right/>
      <top/>
      <bottom/>
      <diagonal/>
    </border>
    <border>
      <left style="medium">
        <color indexed="64"/>
      </left>
      <right/>
      <top style="medium">
        <color indexed="64"/>
      </top>
      <bottom/>
      <diagonal/>
    </border>
    <border>
      <left/>
      <right style="medium">
        <color indexed="64"/>
      </right>
      <top style="medium">
        <color indexed="64"/>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style="medium">
        <color theme="4" tint="-0.499984740745262"/>
      </left>
      <right style="medium">
        <color theme="4" tint="-0.499984740745262"/>
      </right>
      <top style="medium">
        <color theme="4" tint="-0.499984740745262"/>
      </top>
      <bottom/>
      <diagonal/>
    </border>
    <border>
      <left style="medium">
        <color theme="4" tint="-0.499984740745262"/>
      </left>
      <right style="medium">
        <color theme="4" tint="-0.499984740745262"/>
      </right>
      <top/>
      <bottom/>
      <diagonal/>
    </border>
    <border>
      <left style="medium">
        <color theme="8" tint="-0.499984740745262"/>
      </left>
      <right style="medium">
        <color theme="8" tint="-0.499984740745262"/>
      </right>
      <top style="medium">
        <color theme="8" tint="-0.499984740745262"/>
      </top>
      <bottom style="medium">
        <color theme="8" tint="-0.499984740745262"/>
      </bottom>
      <diagonal/>
    </border>
    <border>
      <left style="medium">
        <color theme="8" tint="-0.499984740745262"/>
      </left>
      <right/>
      <top style="medium">
        <color theme="8" tint="-0.499984740745262"/>
      </top>
      <bottom style="medium">
        <color theme="8" tint="-0.499984740745262"/>
      </bottom>
      <diagonal/>
    </border>
    <border>
      <left/>
      <right style="medium">
        <color theme="8" tint="-0.499984740745262"/>
      </right>
      <top style="medium">
        <color theme="8" tint="-0.499984740745262"/>
      </top>
      <bottom style="medium">
        <color theme="8" tint="-0.499984740745262"/>
      </bottom>
      <diagonal/>
    </border>
    <border>
      <left/>
      <right style="dashed">
        <color theme="4" tint="-0.499984740745262"/>
      </right>
      <top/>
      <bottom/>
      <diagonal/>
    </border>
    <border>
      <left style="dashed">
        <color theme="4" tint="-0.499984740745262"/>
      </left>
      <right style="dashed">
        <color theme="4" tint="-0.499984740745262"/>
      </right>
      <top/>
      <bottom/>
      <diagonal/>
    </border>
    <border>
      <left/>
      <right/>
      <top style="medium">
        <color theme="8" tint="-0.499984740745262"/>
      </top>
      <bottom/>
      <diagonal/>
    </border>
    <border>
      <left/>
      <right style="dashed">
        <color theme="1"/>
      </right>
      <top/>
      <bottom/>
      <diagonal/>
    </border>
    <border>
      <left style="dashed">
        <color theme="1"/>
      </left>
      <right style="dashed">
        <color theme="1"/>
      </right>
      <top/>
      <bottom/>
      <diagonal/>
    </border>
    <border>
      <left style="medium">
        <color theme="8" tint="-0.499984740745262"/>
      </left>
      <right/>
      <top/>
      <bottom/>
      <diagonal/>
    </border>
    <border>
      <left/>
      <right/>
      <top/>
      <bottom style="medium">
        <color theme="8" tint="-0.499984740745262"/>
      </bottom>
      <diagonal/>
    </border>
    <border>
      <left style="medium">
        <color theme="4" tint="-0.499984740745262"/>
      </left>
      <right style="dashed">
        <color theme="4" tint="-0.499984740745262"/>
      </right>
      <top/>
      <bottom/>
      <diagonal/>
    </border>
    <border>
      <left style="dashed">
        <color theme="4" tint="-0.499984740745262"/>
      </left>
      <right style="dashed">
        <color theme="4" tint="-0.499984740745262"/>
      </right>
      <top/>
      <bottom style="medium">
        <color theme="4" tint="-0.499984740745262"/>
      </bottom>
      <diagonal/>
    </border>
    <border>
      <left/>
      <right style="dashed">
        <color theme="4" tint="-0.499984740745262"/>
      </right>
      <top/>
      <bottom style="medium">
        <color theme="4" tint="-0.499984740745262"/>
      </bottom>
      <diagonal/>
    </border>
    <border>
      <left/>
      <right/>
      <top style="thin">
        <color theme="2" tint="-0.249977111117893"/>
      </top>
      <bottom style="thin">
        <color theme="2" tint="-0.249977111117893"/>
      </bottom>
      <diagonal/>
    </border>
    <border>
      <left/>
      <right style="dashed">
        <color theme="4" tint="-0.499984740745262"/>
      </right>
      <top style="thin">
        <color theme="2" tint="-0.249977111117893"/>
      </top>
      <bottom style="thin">
        <color theme="2" tint="-0.249977111117893"/>
      </bottom>
      <diagonal/>
    </border>
    <border>
      <left style="dashed">
        <color theme="4" tint="-0.499984740745262"/>
      </left>
      <right style="dashed">
        <color theme="4" tint="-0.499984740745262"/>
      </right>
      <top style="thin">
        <color theme="2" tint="-0.249977111117893"/>
      </top>
      <bottom style="thin">
        <color theme="2" tint="-0.249977111117893"/>
      </bottom>
      <diagonal/>
    </border>
    <border>
      <left/>
      <right/>
      <top style="medium">
        <color theme="8" tint="-0.499984740745262"/>
      </top>
      <bottom style="medium">
        <color theme="8" tint="-0.499984740745262"/>
      </bottom>
      <diagonal/>
    </border>
    <border>
      <left style="medium">
        <color theme="8" tint="-0.499984740745262"/>
      </left>
      <right/>
      <top/>
      <bottom style="medium">
        <color theme="8" tint="-0.499984740745262"/>
      </bottom>
      <diagonal/>
    </border>
    <border>
      <left/>
      <right style="medium">
        <color theme="8" tint="-0.499984740745262"/>
      </right>
      <top/>
      <bottom style="medium">
        <color theme="8" tint="-0.499984740745262"/>
      </bottom>
      <diagonal/>
    </border>
    <border>
      <left style="medium">
        <color theme="8" tint="-0.499984740745262"/>
      </left>
      <right/>
      <top style="medium">
        <color theme="8" tint="-0.499984740745262"/>
      </top>
      <bottom/>
      <diagonal/>
    </border>
    <border>
      <left/>
      <right style="medium">
        <color theme="8" tint="-0.499984740745262"/>
      </right>
      <top style="medium">
        <color theme="8" tint="-0.499984740745262"/>
      </top>
      <bottom/>
      <diagonal/>
    </border>
    <border>
      <left/>
      <right style="medium">
        <color theme="8" tint="-0.499984740745262"/>
      </right>
      <top/>
      <bottom/>
      <diagonal/>
    </border>
    <border>
      <left style="thin">
        <color indexed="64"/>
      </left>
      <right style="thin">
        <color indexed="64"/>
      </right>
      <top style="thin">
        <color indexed="64"/>
      </top>
      <bottom style="thin">
        <color indexed="64"/>
      </bottom>
      <diagonal/>
    </border>
    <border>
      <left style="dashed">
        <color theme="4" tint="-0.499984740745262"/>
      </left>
      <right style="dashed">
        <color theme="4" tint="-0.499984740745262"/>
      </right>
      <top style="dashed">
        <color theme="4" tint="-0.499984740745262"/>
      </top>
      <bottom style="dashed">
        <color theme="4" tint="-0.499984740745262"/>
      </bottom>
      <diagonal/>
    </border>
    <border>
      <left style="dashed">
        <color theme="4" tint="-0.499984740745262"/>
      </left>
      <right/>
      <top style="dashed">
        <color theme="4" tint="-0.499984740745262"/>
      </top>
      <bottom style="dashed">
        <color theme="4" tint="-0.499984740745262"/>
      </bottom>
      <diagonal/>
    </border>
    <border>
      <left/>
      <right style="dashed">
        <color theme="4" tint="-0.499984740745262"/>
      </right>
      <top style="dashed">
        <color theme="4" tint="-0.499984740745262"/>
      </top>
      <bottom style="dashed">
        <color theme="4" tint="-0.499984740745262"/>
      </bottom>
      <diagonal/>
    </border>
    <border>
      <left/>
      <right style="thin">
        <color rgb="FFD9FFFB"/>
      </right>
      <top/>
      <bottom/>
      <diagonal/>
    </border>
    <border>
      <left style="thin">
        <color rgb="FFD9FFFB"/>
      </left>
      <right/>
      <top style="thin">
        <color rgb="FFD9FFFB"/>
      </top>
      <bottom/>
      <diagonal/>
    </border>
    <border>
      <left style="thin">
        <color rgb="FFD9FFFB"/>
      </left>
      <right/>
      <top/>
      <bottom/>
      <diagonal/>
    </border>
    <border>
      <left style="medium">
        <color theme="6" tint="-0.249977111117893"/>
      </left>
      <right style="medium">
        <color theme="6" tint="-0.249977111117893"/>
      </right>
      <top style="medium">
        <color theme="6" tint="-0.249977111117893"/>
      </top>
      <bottom style="medium">
        <color theme="6" tint="-0.249977111117893"/>
      </bottom>
      <diagonal/>
    </border>
    <border>
      <left/>
      <right style="medium">
        <color rgb="FFE4ECF8"/>
      </right>
      <top/>
      <bottom/>
      <diagonal/>
    </border>
    <border>
      <left style="medium">
        <color rgb="FFE4ECF8"/>
      </left>
      <right/>
      <top style="medium">
        <color rgb="FFE4ECF8"/>
      </top>
      <bottom style="medium">
        <color theme="4" tint="-0.499984740745262"/>
      </bottom>
      <diagonal/>
    </border>
    <border>
      <left/>
      <right/>
      <top/>
      <bottom style="medium">
        <color rgb="FF1D2F4D"/>
      </bottom>
      <diagonal/>
    </border>
    <border>
      <left/>
      <right style="dashed">
        <color theme="4" tint="-0.499984740745262"/>
      </right>
      <top/>
      <bottom style="medium">
        <color rgb="FF1D2F4D"/>
      </bottom>
      <diagonal/>
    </border>
    <border>
      <left style="dashed">
        <color theme="4" tint="-0.499984740745262"/>
      </left>
      <right style="medium">
        <color rgb="FF1D2F4D"/>
      </right>
      <top/>
      <bottom/>
      <diagonal/>
    </border>
    <border>
      <left style="dashed">
        <color theme="4" tint="-0.499984740745262"/>
      </left>
      <right style="medium">
        <color rgb="FF1D2F4D"/>
      </right>
      <top style="thin">
        <color theme="2" tint="-0.249977111117893"/>
      </top>
      <bottom style="thin">
        <color theme="2" tint="-0.249977111117893"/>
      </bottom>
      <diagonal/>
    </border>
    <border>
      <left/>
      <right style="dashed">
        <color theme="4" tint="-0.499984740745262"/>
      </right>
      <top/>
      <bottom style="thin">
        <color theme="2" tint="-0.249977111117893"/>
      </bottom>
      <diagonal/>
    </border>
    <border>
      <left style="dashed">
        <color theme="4" tint="-0.499984740745262"/>
      </left>
      <right style="dashed">
        <color theme="4" tint="-0.499984740745262"/>
      </right>
      <top/>
      <bottom style="thin">
        <color theme="2" tint="-0.249977111117893"/>
      </bottom>
      <diagonal/>
    </border>
    <border>
      <left style="dashed">
        <color theme="4" tint="-0.499984740745262"/>
      </left>
      <right style="medium">
        <color rgb="FF1D2F4D"/>
      </right>
      <top/>
      <bottom style="thin">
        <color theme="2" tint="-0.249977111117893"/>
      </bottom>
      <diagonal/>
    </border>
    <border>
      <left/>
      <right/>
      <top/>
      <bottom style="thin">
        <color theme="2" tint="-0.249977111117893"/>
      </bottom>
      <diagonal/>
    </border>
    <border>
      <left style="dashed">
        <color theme="4" tint="-0.499984740745262"/>
      </left>
      <right style="dashed">
        <color theme="4" tint="-0.499984740745262"/>
      </right>
      <top/>
      <bottom style="medium">
        <color rgb="FF1D2F4D"/>
      </bottom>
      <diagonal/>
    </border>
    <border>
      <left style="dashed">
        <color theme="4" tint="-0.499984740745262"/>
      </left>
      <right style="medium">
        <color rgb="FF1D2F4D"/>
      </right>
      <top/>
      <bottom style="medium">
        <color rgb="FF1D2F4D"/>
      </bottom>
      <diagonal/>
    </border>
    <border>
      <left style="medium">
        <color rgb="FFE4ECF8"/>
      </left>
      <right style="dashed">
        <color theme="4" tint="-0.499984740745262"/>
      </right>
      <top/>
      <bottom style="medium">
        <color rgb="FF1D2F4D"/>
      </bottom>
      <diagonal/>
    </border>
    <border>
      <left/>
      <right/>
      <top/>
      <bottom style="medium">
        <color rgb="FF9AD9D1"/>
      </bottom>
      <diagonal/>
    </border>
    <border>
      <left/>
      <right/>
      <top style="medium">
        <color rgb="FF9AD9D1"/>
      </top>
      <bottom/>
      <diagonal/>
    </border>
    <border>
      <left style="medium">
        <color rgb="FF1D2F4D"/>
      </left>
      <right/>
      <top style="medium">
        <color rgb="FF1D2F4D"/>
      </top>
      <bottom/>
      <diagonal/>
    </border>
    <border>
      <left/>
      <right style="medium">
        <color rgb="FF1D2F4D"/>
      </right>
      <top style="medium">
        <color rgb="FF1D2F4D"/>
      </top>
      <bottom/>
      <diagonal/>
    </border>
    <border>
      <left style="medium">
        <color rgb="FF1D2F4D"/>
      </left>
      <right/>
      <top/>
      <bottom style="medium">
        <color rgb="FF1D2F4D"/>
      </bottom>
      <diagonal/>
    </border>
    <border>
      <left/>
      <right style="medium">
        <color rgb="FF1D2F4D"/>
      </right>
      <top/>
      <bottom style="medium">
        <color rgb="FF1D2F4D"/>
      </bottom>
      <diagonal/>
    </border>
    <border>
      <left style="medium">
        <color rgb="FFFFF8EC"/>
      </left>
      <right style="medium">
        <color rgb="FFFFF8EC"/>
      </right>
      <top style="medium">
        <color rgb="FFFFF8EC"/>
      </top>
      <bottom style="medium">
        <color theme="8" tint="-0.499984740745262"/>
      </bottom>
      <diagonal/>
    </border>
    <border>
      <left/>
      <right style="medium">
        <color rgb="FFFFF8EC"/>
      </right>
      <top/>
      <bottom/>
      <diagonal/>
    </border>
    <border>
      <left style="medium">
        <color rgb="FFFFF8EC"/>
      </left>
      <right style="medium">
        <color rgb="FFFFF8EC"/>
      </right>
      <top/>
      <bottom style="medium">
        <color theme="8" tint="-0.499984740745262"/>
      </bottom>
      <diagonal/>
    </border>
    <border>
      <left style="medium">
        <color rgb="FFFFF8EC"/>
      </left>
      <right style="medium">
        <color rgb="FFFFF8EC"/>
      </right>
      <top style="medium">
        <color rgb="FFFFF8EC"/>
      </top>
      <bottom/>
      <diagonal/>
    </border>
    <border>
      <left style="medium">
        <color rgb="FFFFF8EC"/>
      </left>
      <right/>
      <top style="medium">
        <color rgb="FFFFF8EC"/>
      </top>
      <bottom style="medium">
        <color theme="8" tint="-0.499984740745262"/>
      </bottom>
      <diagonal/>
    </border>
    <border>
      <left/>
      <right style="medium">
        <color rgb="FFFFF8EC"/>
      </right>
      <top style="medium">
        <color rgb="FFFFF8EC"/>
      </top>
      <bottom style="medium">
        <color theme="8" tint="-0.499984740745262"/>
      </bottom>
      <diagonal/>
    </border>
    <border>
      <left style="medium">
        <color rgb="FFFFF8EC"/>
      </left>
      <right/>
      <top style="medium">
        <color rgb="FFFFF8EC"/>
      </top>
      <bottom/>
      <diagonal/>
    </border>
    <border>
      <left/>
      <right style="medium">
        <color rgb="FFFFF8EC"/>
      </right>
      <top style="medium">
        <color rgb="FFFFF8EC"/>
      </top>
      <bottom/>
      <diagonal/>
    </border>
    <border>
      <left style="medium">
        <color rgb="FFFFF8EC"/>
      </left>
      <right/>
      <top/>
      <bottom style="medium">
        <color theme="8" tint="-0.499984740745262"/>
      </bottom>
      <diagonal/>
    </border>
    <border>
      <left/>
      <right style="medium">
        <color rgb="FFFFF8EC"/>
      </right>
      <top/>
      <bottom style="medium">
        <color theme="8" tint="-0.499984740745262"/>
      </bottom>
      <diagonal/>
    </border>
    <border>
      <left/>
      <right/>
      <top style="medium">
        <color rgb="FFFFF8EC"/>
      </top>
      <bottom style="medium">
        <color theme="8" tint="-0.499984740745262"/>
      </bottom>
      <diagonal/>
    </border>
    <border>
      <left style="medium">
        <color rgb="FFFFF8EC"/>
      </left>
      <right/>
      <top/>
      <bottom/>
      <diagonal/>
    </border>
    <border>
      <left style="medium">
        <color rgb="FF003E6A"/>
      </left>
      <right/>
      <top style="medium">
        <color rgb="FF003E6A"/>
      </top>
      <bottom style="medium">
        <color rgb="FF003E6A"/>
      </bottom>
      <diagonal/>
    </border>
    <border>
      <left/>
      <right/>
      <top style="medium">
        <color rgb="FF003E6A"/>
      </top>
      <bottom style="medium">
        <color rgb="FF003E6A"/>
      </bottom>
      <diagonal/>
    </border>
    <border>
      <left/>
      <right style="medium">
        <color rgb="FF003E6A"/>
      </right>
      <top style="medium">
        <color rgb="FF003E6A"/>
      </top>
      <bottom style="medium">
        <color rgb="FF003E6A"/>
      </bottom>
      <diagonal/>
    </border>
    <border>
      <left style="medium">
        <color rgb="FFD8FEEA"/>
      </left>
      <right/>
      <top style="medium">
        <color rgb="FFD8FEEA"/>
      </top>
      <bottom style="medium">
        <color theme="6" tint="-0.499984740745262"/>
      </bottom>
      <diagonal/>
    </border>
    <border>
      <left/>
      <right/>
      <top style="medium">
        <color rgb="FFD8FEEA"/>
      </top>
      <bottom style="medium">
        <color theme="6" tint="-0.499984740745262"/>
      </bottom>
      <diagonal/>
    </border>
    <border>
      <left/>
      <right style="medium">
        <color rgb="FFD8FEEA"/>
      </right>
      <top style="medium">
        <color rgb="FFD8FEEA"/>
      </top>
      <bottom style="medium">
        <color theme="6" tint="-0.499984740745262"/>
      </bottom>
      <diagonal/>
    </border>
    <border>
      <left style="medium">
        <color rgb="FFE4ECF8"/>
      </left>
      <right/>
      <top/>
      <bottom/>
      <diagonal/>
    </border>
    <border>
      <left/>
      <right/>
      <top style="medium">
        <color rgb="FFE4ECF8"/>
      </top>
      <bottom style="medium">
        <color theme="4" tint="-0.499984740745262"/>
      </bottom>
      <diagonal/>
    </border>
    <border>
      <left/>
      <right style="medium">
        <color rgb="FFE4ECF8"/>
      </right>
      <top style="medium">
        <color rgb="FFE4ECF8"/>
      </top>
      <bottom style="medium">
        <color theme="4" tint="-0.499984740745262"/>
      </bottom>
      <diagonal/>
    </border>
    <border>
      <left style="medium">
        <color rgb="FF003E6A"/>
      </left>
      <right/>
      <top style="medium">
        <color rgb="FF003E6A"/>
      </top>
      <bottom/>
      <diagonal/>
    </border>
    <border>
      <left/>
      <right/>
      <top style="medium">
        <color rgb="FF003E6A"/>
      </top>
      <bottom/>
      <diagonal/>
    </border>
    <border>
      <left/>
      <right style="medium">
        <color rgb="FF003E6A"/>
      </right>
      <top style="medium">
        <color rgb="FF003E6A"/>
      </top>
      <bottom/>
      <diagonal/>
    </border>
    <border>
      <left style="medium">
        <color rgb="FF003E6A"/>
      </left>
      <right/>
      <top/>
      <bottom style="medium">
        <color rgb="FF003E6A"/>
      </bottom>
      <diagonal/>
    </border>
    <border>
      <left/>
      <right/>
      <top/>
      <bottom style="medium">
        <color rgb="FF003E6A"/>
      </bottom>
      <diagonal/>
    </border>
    <border>
      <left/>
      <right style="medium">
        <color rgb="FF003E6A"/>
      </right>
      <top/>
      <bottom style="medium">
        <color rgb="FF003E6A"/>
      </bottom>
      <diagonal/>
    </border>
    <border>
      <left/>
      <right/>
      <top style="medium">
        <color rgb="FF1D2F4D"/>
      </top>
      <bottom/>
      <diagonal/>
    </border>
    <border>
      <left style="dashed">
        <color theme="4" tint="-0.499984740745262"/>
      </left>
      <right/>
      <top/>
      <bottom/>
      <diagonal/>
    </border>
    <border>
      <left style="dashed">
        <color theme="4" tint="-0.499984740745262"/>
      </left>
      <right/>
      <top/>
      <bottom style="medium">
        <color theme="4" tint="-0.499984740745262"/>
      </bottom>
      <diagonal/>
    </border>
    <border>
      <left style="dashed">
        <color theme="4" tint="-0.499984740745262"/>
      </left>
      <right/>
      <top style="medium">
        <color theme="4" tint="-0.499984740745262"/>
      </top>
      <bottom/>
      <diagonal/>
    </border>
    <border>
      <left/>
      <right style="dashed">
        <color theme="4" tint="-0.499984740745262"/>
      </right>
      <top style="medium">
        <color theme="4" tint="-0.499984740745262"/>
      </top>
      <bottom/>
      <diagonal/>
    </border>
    <border>
      <left style="medium">
        <color rgb="FF422C0E"/>
      </left>
      <right/>
      <top style="medium">
        <color rgb="FF422C0E"/>
      </top>
      <bottom/>
      <diagonal/>
    </border>
    <border>
      <left/>
      <right/>
      <top style="medium">
        <color rgb="FF422C0E"/>
      </top>
      <bottom/>
      <diagonal/>
    </border>
    <border>
      <left/>
      <right style="medium">
        <color rgb="FF422C0E"/>
      </right>
      <top style="medium">
        <color rgb="FF422C0E"/>
      </top>
      <bottom/>
      <diagonal/>
    </border>
    <border>
      <left style="medium">
        <color rgb="FF422C0E"/>
      </left>
      <right/>
      <top/>
      <bottom/>
      <diagonal/>
    </border>
    <border>
      <left/>
      <right style="medium">
        <color rgb="FF422C0E"/>
      </right>
      <top/>
      <bottom/>
      <diagonal/>
    </border>
    <border>
      <left style="medium">
        <color rgb="FF422C0E"/>
      </left>
      <right/>
      <top/>
      <bottom style="medium">
        <color rgb="FF422C0E"/>
      </bottom>
      <diagonal/>
    </border>
    <border>
      <left/>
      <right/>
      <top/>
      <bottom style="medium">
        <color rgb="FF422C0E"/>
      </bottom>
      <diagonal/>
    </border>
    <border>
      <left/>
      <right style="medium">
        <color rgb="FF422C0E"/>
      </right>
      <top/>
      <bottom style="medium">
        <color rgb="FF422C0E"/>
      </bottom>
      <diagonal/>
    </border>
    <border>
      <left style="medium">
        <color theme="6" tint="-0.24994659260841701"/>
      </left>
      <right/>
      <top style="medium">
        <color theme="6" tint="-0.24994659260841701"/>
      </top>
      <bottom style="medium">
        <color theme="6" tint="-0.24994659260841701"/>
      </bottom>
      <diagonal/>
    </border>
    <border>
      <left/>
      <right style="medium">
        <color theme="6" tint="-0.24994659260841701"/>
      </right>
      <top style="medium">
        <color theme="6" tint="-0.24994659260841701"/>
      </top>
      <bottom style="medium">
        <color theme="6" tint="-0.24994659260841701"/>
      </bottom>
      <diagonal/>
    </border>
    <border>
      <left/>
      <right/>
      <top/>
      <bottom style="thin">
        <color indexed="64"/>
      </bottom>
      <diagonal/>
    </border>
    <border>
      <left/>
      <right/>
      <top style="thin">
        <color theme="4" tint="0.39997558519241921"/>
      </top>
      <bottom style="thin">
        <color theme="4" tint="0.39997558519241921"/>
      </bottom>
      <diagonal/>
    </border>
    <border>
      <left/>
      <right/>
      <top/>
      <bottom style="thin">
        <color theme="4" tint="0.39997558519241921"/>
      </bottom>
      <diagonal/>
    </border>
    <border>
      <left/>
      <right/>
      <top style="thin">
        <color theme="4" tint="0.39997558519241921"/>
      </top>
      <bottom/>
      <diagonal/>
    </border>
    <border>
      <left style="thin">
        <color theme="9" tint="0.39997558519241921"/>
      </left>
      <right style="thin">
        <color theme="9" tint="0.39997558519241921"/>
      </right>
      <top style="thin">
        <color theme="9" tint="0.39997558519241921"/>
      </top>
      <bottom style="thin">
        <color theme="9" tint="0.39997558519241921"/>
      </bottom>
      <diagonal/>
    </border>
    <border>
      <left/>
      <right style="dashed">
        <color indexed="64"/>
      </right>
      <top/>
      <bottom/>
      <diagonal/>
    </border>
    <border>
      <left style="dashed">
        <color indexed="64"/>
      </left>
      <right/>
      <top/>
      <bottom/>
      <diagonal/>
    </border>
    <border>
      <left style="medium">
        <color theme="6" tint="-0.249977111117893"/>
      </left>
      <right/>
      <top/>
      <bottom/>
      <diagonal/>
    </border>
  </borders>
  <cellStyleXfs count="2">
    <xf numFmtId="0" fontId="0" fillId="0" borderId="0"/>
    <xf numFmtId="0" fontId="2" fillId="0" borderId="0" applyNumberFormat="0" applyFill="0" applyBorder="0" applyAlignment="0" applyProtection="0"/>
  </cellStyleXfs>
  <cellXfs count="474">
    <xf numFmtId="0" fontId="0" fillId="0" borderId="0" xfId="0"/>
    <xf numFmtId="0" fontId="0" fillId="2" borderId="0" xfId="0" applyFill="1"/>
    <xf numFmtId="0" fontId="4" fillId="2" borderId="0" xfId="0" applyFont="1" applyFill="1"/>
    <xf numFmtId="0" fontId="4" fillId="3" borderId="5" xfId="0" applyFont="1" applyFill="1" applyBorder="1"/>
    <xf numFmtId="0" fontId="4" fillId="3" borderId="14" xfId="0" applyFont="1" applyFill="1" applyBorder="1"/>
    <xf numFmtId="0" fontId="4" fillId="3" borderId="12" xfId="0" applyFont="1" applyFill="1" applyBorder="1"/>
    <xf numFmtId="0" fontId="4" fillId="3" borderId="15" xfId="0" applyFont="1" applyFill="1" applyBorder="1"/>
    <xf numFmtId="0" fontId="4" fillId="3" borderId="11" xfId="0" applyFont="1" applyFill="1" applyBorder="1"/>
    <xf numFmtId="0" fontId="4" fillId="3" borderId="4" xfId="0" applyFont="1" applyFill="1" applyBorder="1"/>
    <xf numFmtId="0" fontId="4" fillId="3" borderId="13" xfId="0" applyFont="1" applyFill="1" applyBorder="1"/>
    <xf numFmtId="0" fontId="4" fillId="3" borderId="14" xfId="0" applyFont="1" applyFill="1" applyBorder="1" applyAlignment="1">
      <alignment vertical="top" wrapText="1"/>
    </xf>
    <xf numFmtId="0" fontId="4" fillId="3" borderId="16" xfId="0" applyFont="1" applyFill="1" applyBorder="1"/>
    <xf numFmtId="0" fontId="4" fillId="3" borderId="16" xfId="0" applyFont="1" applyFill="1" applyBorder="1" applyAlignment="1">
      <alignment vertical="top" wrapText="1"/>
    </xf>
    <xf numFmtId="0" fontId="4" fillId="3" borderId="13" xfId="0" applyFont="1" applyFill="1" applyBorder="1" applyAlignment="1">
      <alignment vertical="top" wrapText="1"/>
    </xf>
    <xf numFmtId="0" fontId="4" fillId="3" borderId="35" xfId="0" applyFont="1" applyFill="1" applyBorder="1"/>
    <xf numFmtId="0" fontId="4" fillId="3" borderId="36" xfId="0" applyFont="1" applyFill="1" applyBorder="1"/>
    <xf numFmtId="0" fontId="4" fillId="3" borderId="30" xfId="0" applyFont="1" applyFill="1" applyBorder="1"/>
    <xf numFmtId="0" fontId="4" fillId="3" borderId="29" xfId="0" applyFont="1" applyFill="1" applyBorder="1"/>
    <xf numFmtId="0" fontId="4" fillId="3" borderId="32" xfId="0" applyFont="1" applyFill="1" applyBorder="1"/>
    <xf numFmtId="0" fontId="4" fillId="3" borderId="33" xfId="0" applyFont="1" applyFill="1" applyBorder="1"/>
    <xf numFmtId="0" fontId="4" fillId="3" borderId="34" xfId="0" applyFont="1" applyFill="1" applyBorder="1"/>
    <xf numFmtId="0" fontId="4" fillId="3" borderId="0" xfId="0" applyFont="1" applyFill="1" applyAlignment="1">
      <alignment horizontal="left" vertical="center"/>
    </xf>
    <xf numFmtId="0" fontId="16" fillId="2" borderId="0" xfId="0" applyFont="1" applyFill="1"/>
    <xf numFmtId="0" fontId="17" fillId="2" borderId="0" xfId="0" applyFont="1" applyFill="1"/>
    <xf numFmtId="0" fontId="12" fillId="3" borderId="0" xfId="0" applyFont="1" applyFill="1" applyAlignment="1">
      <alignment vertical="top" wrapText="1"/>
    </xf>
    <xf numFmtId="0" fontId="6" fillId="3" borderId="0" xfId="0" applyFont="1" applyFill="1"/>
    <xf numFmtId="0" fontId="17" fillId="7" borderId="0" xfId="0" applyFont="1" applyFill="1"/>
    <xf numFmtId="0" fontId="4" fillId="7" borderId="0" xfId="0" applyFont="1" applyFill="1"/>
    <xf numFmtId="0" fontId="4" fillId="14" borderId="0" xfId="0" applyFont="1" applyFill="1"/>
    <xf numFmtId="0" fontId="4" fillId="13" borderId="0" xfId="0" applyFont="1" applyFill="1"/>
    <xf numFmtId="0" fontId="4" fillId="12" borderId="0" xfId="0" applyFont="1" applyFill="1"/>
    <xf numFmtId="0" fontId="4" fillId="11" borderId="0" xfId="0" applyFont="1" applyFill="1"/>
    <xf numFmtId="0" fontId="4" fillId="10" borderId="0" xfId="0" applyFont="1" applyFill="1"/>
    <xf numFmtId="0" fontId="4" fillId="9" borderId="0" xfId="0" applyFont="1" applyFill="1"/>
    <xf numFmtId="0" fontId="4" fillId="8" borderId="0" xfId="0" applyFont="1" applyFill="1"/>
    <xf numFmtId="0" fontId="3" fillId="0" borderId="0" xfId="0" applyFont="1"/>
    <xf numFmtId="0" fontId="12" fillId="3" borderId="0" xfId="0" applyFont="1" applyFill="1" applyAlignment="1">
      <alignment vertical="top"/>
    </xf>
    <xf numFmtId="0" fontId="12" fillId="13" borderId="0" xfId="0" applyFont="1" applyFill="1" applyAlignment="1">
      <alignment vertical="top"/>
    </xf>
    <xf numFmtId="0" fontId="12" fillId="12" borderId="0" xfId="0" applyFont="1" applyFill="1" applyAlignment="1">
      <alignment vertical="top"/>
    </xf>
    <xf numFmtId="0" fontId="12" fillId="11" borderId="0" xfId="0" applyFont="1" applyFill="1" applyAlignment="1">
      <alignment vertical="top"/>
    </xf>
    <xf numFmtId="0" fontId="12" fillId="10" borderId="0" xfId="0" applyFont="1" applyFill="1" applyAlignment="1">
      <alignment vertical="top"/>
    </xf>
    <xf numFmtId="0" fontId="12" fillId="9" borderId="0" xfId="0" applyFont="1" applyFill="1" applyAlignment="1">
      <alignment vertical="top"/>
    </xf>
    <xf numFmtId="0" fontId="12" fillId="8" borderId="0" xfId="0" applyFont="1" applyFill="1" applyAlignment="1">
      <alignment vertical="top"/>
    </xf>
    <xf numFmtId="0" fontId="7" fillId="2" borderId="0" xfId="0" applyFont="1" applyFill="1" applyAlignment="1">
      <alignment textRotation="90"/>
    </xf>
    <xf numFmtId="0" fontId="4" fillId="0" borderId="0" xfId="0" applyFont="1"/>
    <xf numFmtId="0" fontId="7" fillId="2" borderId="0" xfId="0" applyFont="1" applyFill="1"/>
    <xf numFmtId="0" fontId="12" fillId="5" borderId="28" xfId="0" applyFont="1" applyFill="1" applyBorder="1" applyAlignment="1">
      <alignment horizontal="left" vertical="center" wrapText="1"/>
    </xf>
    <xf numFmtId="0" fontId="20" fillId="2" borderId="0" xfId="0" applyFont="1" applyFill="1"/>
    <xf numFmtId="0" fontId="23" fillId="2" borderId="0" xfId="0" applyFont="1" applyFill="1"/>
    <xf numFmtId="0" fontId="24" fillId="2" borderId="27" xfId="0" applyFont="1" applyFill="1" applyBorder="1" applyAlignment="1">
      <alignment vertical="top" wrapText="1"/>
    </xf>
    <xf numFmtId="0" fontId="4" fillId="3" borderId="31" xfId="0" applyFont="1" applyFill="1" applyBorder="1"/>
    <xf numFmtId="0" fontId="4" fillId="3" borderId="18" xfId="0" applyFont="1" applyFill="1" applyBorder="1"/>
    <xf numFmtId="0" fontId="4" fillId="4" borderId="6" xfId="0" applyFont="1" applyFill="1" applyBorder="1" applyAlignment="1">
      <alignment vertical="center"/>
    </xf>
    <xf numFmtId="0" fontId="4" fillId="3" borderId="40" xfId="0" applyFont="1" applyFill="1" applyBorder="1" applyAlignment="1">
      <alignment horizontal="center" vertical="center"/>
    </xf>
    <xf numFmtId="0" fontId="4" fillId="3" borderId="41" xfId="0" applyFont="1" applyFill="1" applyBorder="1" applyAlignment="1">
      <alignment horizontal="center" vertical="center"/>
    </xf>
    <xf numFmtId="0" fontId="15" fillId="3" borderId="40" xfId="0" applyFont="1" applyFill="1" applyBorder="1" applyAlignment="1">
      <alignment vertical="center"/>
    </xf>
    <xf numFmtId="0" fontId="4" fillId="3" borderId="47" xfId="0" applyFont="1" applyFill="1" applyBorder="1" applyAlignment="1">
      <alignment horizontal="left" vertical="center" indent="1"/>
    </xf>
    <xf numFmtId="0" fontId="25" fillId="3" borderId="48" xfId="0" applyFont="1" applyFill="1" applyBorder="1" applyAlignment="1">
      <alignment horizontal="left" vertical="center" indent="1"/>
    </xf>
    <xf numFmtId="0" fontId="4" fillId="3" borderId="41" xfId="0" applyFont="1" applyFill="1" applyBorder="1" applyAlignment="1">
      <alignment horizontal="left" vertical="center" indent="1"/>
    </xf>
    <xf numFmtId="0" fontId="5" fillId="2" borderId="0" xfId="0" applyFont="1" applyFill="1"/>
    <xf numFmtId="0" fontId="26" fillId="3" borderId="0" xfId="0" applyFont="1" applyFill="1" applyAlignment="1">
      <alignment horizontal="left" vertical="top" wrapText="1" indent="1"/>
    </xf>
    <xf numFmtId="0" fontId="15" fillId="3" borderId="51" xfId="0" applyFont="1" applyFill="1" applyBorder="1" applyAlignment="1">
      <alignment vertical="center"/>
    </xf>
    <xf numFmtId="0" fontId="4" fillId="3" borderId="52" xfId="0" applyFont="1" applyFill="1" applyBorder="1" applyAlignment="1">
      <alignment horizontal="center" vertical="center"/>
    </xf>
    <xf numFmtId="0" fontId="4" fillId="3" borderId="50" xfId="0" applyFont="1" applyFill="1" applyBorder="1" applyAlignment="1">
      <alignment horizontal="center" vertical="center"/>
    </xf>
    <xf numFmtId="0" fontId="12" fillId="14" borderId="0" xfId="0" applyFont="1" applyFill="1" applyAlignment="1">
      <alignment vertical="center"/>
    </xf>
    <xf numFmtId="0" fontId="12" fillId="12" borderId="0" xfId="0" applyFont="1" applyFill="1" applyAlignment="1">
      <alignment vertical="center"/>
    </xf>
    <xf numFmtId="0" fontId="12" fillId="13" borderId="0" xfId="0" applyFont="1" applyFill="1" applyAlignment="1">
      <alignment vertical="center"/>
    </xf>
    <xf numFmtId="0" fontId="12" fillId="11" borderId="0" xfId="0" applyFont="1" applyFill="1" applyAlignment="1">
      <alignment vertical="center"/>
    </xf>
    <xf numFmtId="0" fontId="12" fillId="8" borderId="0" xfId="0" applyFont="1" applyFill="1" applyAlignment="1">
      <alignment vertical="center"/>
    </xf>
    <xf numFmtId="0" fontId="12" fillId="9" borderId="0" xfId="0" applyFont="1" applyFill="1" applyAlignment="1">
      <alignment vertical="center"/>
    </xf>
    <xf numFmtId="0" fontId="12" fillId="10" borderId="0" xfId="0" applyFont="1" applyFill="1" applyAlignment="1">
      <alignment vertical="center"/>
    </xf>
    <xf numFmtId="0" fontId="4" fillId="23" borderId="0" xfId="0" applyFont="1" applyFill="1"/>
    <xf numFmtId="0" fontId="4" fillId="3" borderId="0" xfId="0" applyFont="1" applyFill="1"/>
    <xf numFmtId="0" fontId="4" fillId="3" borderId="0" xfId="0" applyFont="1" applyFill="1" applyAlignment="1">
      <alignment horizontal="left" vertical="top" wrapText="1" indent="3"/>
    </xf>
    <xf numFmtId="0" fontId="30" fillId="2" borderId="0" xfId="0" applyFont="1" applyFill="1"/>
    <xf numFmtId="0" fontId="20" fillId="2" borderId="0" xfId="0" applyFont="1" applyFill="1" applyAlignment="1">
      <alignment horizontal="center" vertical="center" textRotation="90"/>
    </xf>
    <xf numFmtId="0" fontId="4" fillId="2" borderId="0" xfId="0" applyFont="1" applyFill="1" applyAlignment="1">
      <alignment horizontal="center" vertical="center" textRotation="90"/>
    </xf>
    <xf numFmtId="0" fontId="4" fillId="17" borderId="0" xfId="0" applyFont="1" applyFill="1"/>
    <xf numFmtId="0" fontId="8" fillId="18" borderId="0" xfId="0" applyFont="1" applyFill="1"/>
    <xf numFmtId="0" fontId="5" fillId="2" borderId="0" xfId="0" applyFont="1" applyFill="1" applyAlignment="1">
      <alignment horizontal="center" vertical="center" textRotation="90"/>
    </xf>
    <xf numFmtId="0" fontId="6" fillId="2" borderId="0" xfId="0" applyFont="1" applyFill="1"/>
    <xf numFmtId="0" fontId="4" fillId="3" borderId="0" xfId="0" applyFont="1" applyFill="1" applyAlignment="1">
      <alignment wrapText="1"/>
    </xf>
    <xf numFmtId="0" fontId="13" fillId="3" borderId="0" xfId="0" applyFont="1" applyFill="1" applyAlignment="1">
      <alignment vertical="center"/>
    </xf>
    <xf numFmtId="0" fontId="14" fillId="2" borderId="0" xfId="0" applyFont="1" applyFill="1"/>
    <xf numFmtId="0" fontId="4" fillId="19" borderId="0" xfId="0" applyFont="1" applyFill="1"/>
    <xf numFmtId="0" fontId="15" fillId="2" borderId="0" xfId="0" applyFont="1" applyFill="1"/>
    <xf numFmtId="0" fontId="4" fillId="3" borderId="63" xfId="0" applyFont="1" applyFill="1" applyBorder="1"/>
    <xf numFmtId="0" fontId="4" fillId="3" borderId="65" xfId="0" applyFont="1" applyFill="1" applyBorder="1" applyAlignment="1">
      <alignment vertical="top" wrapText="1"/>
    </xf>
    <xf numFmtId="0" fontId="35" fillId="5" borderId="66" xfId="0" applyFont="1" applyFill="1" applyBorder="1" applyAlignment="1">
      <alignment vertical="center"/>
    </xf>
    <xf numFmtId="0" fontId="4" fillId="3" borderId="67" xfId="0" applyFont="1" applyFill="1" applyBorder="1"/>
    <xf numFmtId="0" fontId="37" fillId="24" borderId="68" xfId="0" applyFont="1" applyFill="1" applyBorder="1" applyAlignment="1">
      <alignment horizontal="right" vertical="center"/>
    </xf>
    <xf numFmtId="0" fontId="38" fillId="4" borderId="6" xfId="0" applyFont="1" applyFill="1" applyBorder="1" applyAlignment="1">
      <alignment vertical="center"/>
    </xf>
    <xf numFmtId="0" fontId="36" fillId="25" borderId="64" xfId="0" applyFont="1" applyFill="1" applyBorder="1" applyAlignment="1">
      <alignment horizontal="left" vertical="center"/>
    </xf>
    <xf numFmtId="0" fontId="4" fillId="3" borderId="47" xfId="0" applyFont="1" applyFill="1" applyBorder="1" applyAlignment="1">
      <alignment horizontal="center" vertical="center"/>
    </xf>
    <xf numFmtId="0" fontId="12" fillId="3" borderId="70" xfId="0" applyFont="1" applyFill="1" applyBorder="1" applyAlignment="1">
      <alignment horizontal="center" vertical="center"/>
    </xf>
    <xf numFmtId="0" fontId="12" fillId="3" borderId="69" xfId="0" applyFont="1" applyFill="1" applyBorder="1" applyAlignment="1">
      <alignment horizontal="center" vertical="center"/>
    </xf>
    <xf numFmtId="0" fontId="4" fillId="3" borderId="72" xfId="0" applyFont="1" applyFill="1" applyBorder="1" applyAlignment="1">
      <alignment horizontal="center" vertical="center"/>
    </xf>
    <xf numFmtId="0" fontId="4" fillId="3" borderId="71" xfId="0" applyFont="1" applyFill="1" applyBorder="1" applyAlignment="1">
      <alignment horizontal="center" vertical="center"/>
    </xf>
    <xf numFmtId="0" fontId="15" fillId="3" borderId="73" xfId="0" applyFont="1" applyFill="1" applyBorder="1" applyAlignment="1">
      <alignment vertical="center"/>
    </xf>
    <xf numFmtId="0" fontId="4" fillId="3" borderId="74" xfId="0" applyFont="1" applyFill="1" applyBorder="1" applyAlignment="1">
      <alignment horizontal="center" vertical="center"/>
    </xf>
    <xf numFmtId="0" fontId="4" fillId="3" borderId="75" xfId="0" applyFont="1" applyFill="1" applyBorder="1" applyAlignment="1">
      <alignment horizontal="center" vertical="center"/>
    </xf>
    <xf numFmtId="0" fontId="15" fillId="3" borderId="73" xfId="0" applyFont="1" applyFill="1" applyBorder="1" applyAlignment="1">
      <alignment horizontal="left" vertical="center"/>
    </xf>
    <xf numFmtId="0" fontId="4" fillId="3" borderId="76" xfId="0" applyFont="1" applyFill="1" applyBorder="1" applyAlignment="1">
      <alignment horizontal="center" vertical="center"/>
    </xf>
    <xf numFmtId="0" fontId="25" fillId="3" borderId="70" xfId="0" applyFont="1" applyFill="1" applyBorder="1" applyAlignment="1">
      <alignment horizontal="left" vertical="center"/>
    </xf>
    <xf numFmtId="0" fontId="12" fillId="3" borderId="77" xfId="0" applyFont="1" applyFill="1" applyBorder="1" applyAlignment="1">
      <alignment horizontal="center" vertical="center"/>
    </xf>
    <xf numFmtId="0" fontId="12" fillId="3" borderId="78" xfId="0" applyFont="1" applyFill="1" applyBorder="1" applyAlignment="1">
      <alignment horizontal="center" vertical="center"/>
    </xf>
    <xf numFmtId="0" fontId="25" fillId="3" borderId="70" xfId="0" applyFont="1" applyFill="1" applyBorder="1" applyAlignment="1">
      <alignment horizontal="left" vertical="center" indent="1"/>
    </xf>
    <xf numFmtId="0" fontId="12" fillId="3" borderId="79" xfId="0" applyFont="1" applyFill="1" applyBorder="1" applyAlignment="1">
      <alignment horizontal="center" vertical="center"/>
    </xf>
    <xf numFmtId="0" fontId="5" fillId="2" borderId="80" xfId="0" applyFont="1" applyFill="1" applyBorder="1"/>
    <xf numFmtId="0" fontId="40" fillId="27" borderId="86" xfId="0" applyFont="1" applyFill="1" applyBorder="1" applyAlignment="1">
      <alignment horizontal="right" vertical="center"/>
    </xf>
    <xf numFmtId="0" fontId="4" fillId="28" borderId="0" xfId="0" applyFont="1" applyFill="1"/>
    <xf numFmtId="0" fontId="4" fillId="28" borderId="44" xfId="0" applyFont="1" applyFill="1" applyBorder="1" applyAlignment="1">
      <alignment horizontal="center"/>
    </xf>
    <xf numFmtId="0" fontId="4" fillId="28" borderId="0" xfId="0" applyFont="1" applyFill="1" applyAlignment="1">
      <alignment horizontal="center"/>
    </xf>
    <xf numFmtId="0" fontId="4" fillId="28" borderId="41" xfId="0" applyFont="1" applyFill="1" applyBorder="1" applyAlignment="1">
      <alignment horizontal="center"/>
    </xf>
    <xf numFmtId="0" fontId="12" fillId="7" borderId="0" xfId="0" applyFont="1" applyFill="1"/>
    <xf numFmtId="0" fontId="10" fillId="28" borderId="41" xfId="0" applyFont="1" applyFill="1" applyBorder="1" applyAlignment="1">
      <alignment horizontal="center" vertical="center"/>
    </xf>
    <xf numFmtId="0" fontId="4" fillId="28" borderId="0" xfId="0" applyFont="1" applyFill="1" applyAlignment="1">
      <alignment vertical="center"/>
    </xf>
    <xf numFmtId="0" fontId="9" fillId="28" borderId="0" xfId="0" applyFont="1" applyFill="1" applyAlignment="1">
      <alignment vertical="center"/>
    </xf>
    <xf numFmtId="0" fontId="41" fillId="15" borderId="37" xfId="0" applyFont="1" applyFill="1" applyBorder="1"/>
    <xf numFmtId="0" fontId="41" fillId="15" borderId="37" xfId="0" applyFont="1" applyFill="1" applyBorder="1" applyAlignment="1">
      <alignment vertical="center"/>
    </xf>
    <xf numFmtId="0" fontId="4" fillId="2" borderId="80" xfId="0" applyFont="1" applyFill="1" applyBorder="1"/>
    <xf numFmtId="0" fontId="20" fillId="2" borderId="80" xfId="0" applyFont="1" applyFill="1" applyBorder="1" applyAlignment="1">
      <alignment horizontal="center" vertical="center" textRotation="90"/>
    </xf>
    <xf numFmtId="0" fontId="20" fillId="2" borderId="80" xfId="0" applyFont="1" applyFill="1" applyBorder="1"/>
    <xf numFmtId="0" fontId="4" fillId="3" borderId="87" xfId="0" applyFont="1" applyFill="1" applyBorder="1"/>
    <xf numFmtId="0" fontId="4" fillId="3" borderId="104" xfId="0" applyFont="1" applyFill="1" applyBorder="1"/>
    <xf numFmtId="0" fontId="39" fillId="2" borderId="0" xfId="0" applyFont="1" applyFill="1"/>
    <xf numFmtId="0" fontId="46" fillId="2" borderId="0" xfId="0" applyFont="1" applyFill="1"/>
    <xf numFmtId="0" fontId="5" fillId="2" borderId="80" xfId="0" applyFont="1" applyFill="1" applyBorder="1" applyAlignment="1">
      <alignment horizontal="center" vertical="center" textRotation="90"/>
    </xf>
    <xf numFmtId="0" fontId="7" fillId="2" borderId="80" xfId="0" applyFont="1" applyFill="1" applyBorder="1" applyAlignment="1">
      <alignment textRotation="90"/>
    </xf>
    <xf numFmtId="0" fontId="13" fillId="3" borderId="0" xfId="0" applyFont="1" applyFill="1"/>
    <xf numFmtId="0" fontId="7" fillId="2" borderId="80" xfId="0" applyFont="1" applyFill="1" applyBorder="1"/>
    <xf numFmtId="0" fontId="6" fillId="3" borderId="81" xfId="0" applyFont="1" applyFill="1" applyBorder="1"/>
    <xf numFmtId="0" fontId="38" fillId="4" borderId="17" xfId="0" applyFont="1" applyFill="1" applyBorder="1" applyAlignment="1">
      <alignment horizontal="left" indent="1"/>
    </xf>
    <xf numFmtId="0" fontId="45" fillId="2" borderId="0" xfId="0" applyFont="1" applyFill="1"/>
    <xf numFmtId="0" fontId="4" fillId="2" borderId="0" xfId="0" applyFont="1" applyFill="1" applyAlignment="1">
      <alignment vertical="top" wrapText="1"/>
    </xf>
    <xf numFmtId="0" fontId="13" fillId="3" borderId="0" xfId="0" applyFont="1" applyFill="1" applyAlignment="1">
      <alignment horizontal="left" vertical="center"/>
    </xf>
    <xf numFmtId="0" fontId="45" fillId="2" borderId="0" xfId="0" applyFont="1" applyFill="1" applyAlignment="1">
      <alignment wrapText="1"/>
    </xf>
    <xf numFmtId="0" fontId="39" fillId="2" borderId="0" xfId="0" applyFont="1" applyFill="1" applyAlignment="1">
      <alignment horizontal="center" vertical="center"/>
    </xf>
    <xf numFmtId="0" fontId="50" fillId="2" borderId="0" xfId="0" applyFont="1" applyFill="1"/>
    <xf numFmtId="0" fontId="4" fillId="30" borderId="0" xfId="0" applyFont="1" applyFill="1"/>
    <xf numFmtId="0" fontId="36" fillId="25" borderId="65" xfId="0" applyFont="1" applyFill="1" applyBorder="1" applyAlignment="1">
      <alignment horizontal="left" vertical="center"/>
    </xf>
    <xf numFmtId="0" fontId="14" fillId="3" borderId="0" xfId="0" applyFont="1" applyFill="1" applyAlignment="1">
      <alignment horizontal="left" vertical="center" indent="1"/>
    </xf>
    <xf numFmtId="0" fontId="4" fillId="3" borderId="0" xfId="0" applyFont="1" applyFill="1" applyAlignment="1">
      <alignment horizontal="center" vertical="center"/>
    </xf>
    <xf numFmtId="0" fontId="14" fillId="3" borderId="0" xfId="0" applyFont="1" applyFill="1" applyAlignment="1">
      <alignment vertical="center"/>
    </xf>
    <xf numFmtId="0" fontId="4" fillId="3" borderId="0" xfId="0" applyFont="1" applyFill="1" applyAlignment="1">
      <alignment vertical="center" wrapText="1"/>
    </xf>
    <xf numFmtId="0" fontId="4" fillId="3" borderId="0" xfId="0" applyFont="1" applyFill="1" applyAlignment="1">
      <alignment vertical="top" wrapText="1"/>
    </xf>
    <xf numFmtId="0" fontId="4" fillId="3" borderId="0" xfId="0" applyFont="1" applyFill="1" applyAlignment="1">
      <alignment horizontal="left" vertical="top" wrapText="1"/>
    </xf>
    <xf numFmtId="0" fontId="8" fillId="19" borderId="0" xfId="0" applyFont="1" applyFill="1" applyAlignment="1">
      <alignment horizontal="center"/>
    </xf>
    <xf numFmtId="0" fontId="4" fillId="28" borderId="0" xfId="0" applyFont="1" applyFill="1" applyAlignment="1">
      <alignment horizontal="left" vertical="center" indent="1"/>
    </xf>
    <xf numFmtId="0" fontId="10" fillId="28" borderId="0" xfId="0" applyFont="1" applyFill="1" applyAlignment="1">
      <alignment horizontal="center" vertical="center"/>
    </xf>
    <xf numFmtId="0" fontId="10" fillId="28" borderId="43" xfId="0" applyFont="1" applyFill="1" applyBorder="1" applyAlignment="1">
      <alignment horizontal="center" vertical="center"/>
    </xf>
    <xf numFmtId="0" fontId="4" fillId="28" borderId="45" xfId="0" applyFont="1" applyFill="1" applyBorder="1" applyAlignment="1">
      <alignment horizontal="center"/>
    </xf>
    <xf numFmtId="0" fontId="4" fillId="28" borderId="43" xfId="0" applyFont="1" applyFill="1" applyBorder="1" applyAlignment="1">
      <alignment horizontal="center"/>
    </xf>
    <xf numFmtId="0" fontId="10" fillId="28" borderId="44" xfId="0" applyFont="1" applyFill="1" applyBorder="1" applyAlignment="1">
      <alignment horizontal="center" vertical="center"/>
    </xf>
    <xf numFmtId="0" fontId="49" fillId="2" borderId="0" xfId="0" applyFont="1" applyFill="1"/>
    <xf numFmtId="0" fontId="25" fillId="3" borderId="49" xfId="0" applyFont="1" applyFill="1" applyBorder="1" applyAlignment="1">
      <alignment horizontal="left" vertical="center" indent="1"/>
    </xf>
    <xf numFmtId="0" fontId="4" fillId="3" borderId="0" xfId="0" applyFont="1" applyFill="1" applyAlignment="1">
      <alignment horizontal="center" vertical="top" wrapText="1"/>
    </xf>
    <xf numFmtId="0" fontId="4" fillId="7" borderId="0" xfId="0" applyFont="1" applyFill="1" applyAlignment="1">
      <alignment horizontal="left"/>
    </xf>
    <xf numFmtId="0" fontId="4" fillId="14" borderId="0" xfId="0" applyFont="1" applyFill="1" applyAlignment="1">
      <alignment horizontal="center"/>
    </xf>
    <xf numFmtId="0" fontId="25" fillId="3" borderId="0" xfId="0" applyFont="1" applyFill="1" applyAlignment="1">
      <alignment horizontal="center" vertical="center"/>
    </xf>
    <xf numFmtId="0" fontId="4" fillId="3" borderId="0" xfId="0" applyFont="1" applyFill="1" applyAlignment="1">
      <alignment horizontal="left" vertical="top" wrapText="1" indent="1"/>
    </xf>
    <xf numFmtId="0" fontId="4" fillId="2" borderId="0" xfId="0" applyFont="1" applyFill="1" applyAlignment="1">
      <alignment wrapText="1"/>
    </xf>
    <xf numFmtId="0" fontId="52" fillId="2" borderId="0" xfId="0" applyFont="1" applyFill="1"/>
    <xf numFmtId="0" fontId="20" fillId="2" borderId="0" xfId="0" applyFont="1" applyFill="1" applyAlignment="1">
      <alignment wrapText="1"/>
    </xf>
    <xf numFmtId="0" fontId="4" fillId="23" borderId="0" xfId="0" applyFont="1" applyFill="1" applyAlignment="1">
      <alignment wrapText="1"/>
    </xf>
    <xf numFmtId="0" fontId="8" fillId="23" borderId="0" xfId="0" applyFont="1" applyFill="1"/>
    <xf numFmtId="0" fontId="8" fillId="23" borderId="0" xfId="0" applyFont="1" applyFill="1" applyAlignment="1">
      <alignment wrapText="1"/>
    </xf>
    <xf numFmtId="0" fontId="4" fillId="0" borderId="0" xfId="0" applyFont="1" applyAlignment="1">
      <alignment wrapText="1"/>
    </xf>
    <xf numFmtId="0" fontId="4" fillId="2" borderId="0" xfId="0" applyFont="1" applyFill="1" applyAlignment="1">
      <alignment horizontal="center" vertical="center" textRotation="90" wrapText="1"/>
    </xf>
    <xf numFmtId="0" fontId="50" fillId="2" borderId="0" xfId="0" applyFont="1" applyFill="1" applyAlignment="1">
      <alignment wrapText="1"/>
    </xf>
    <xf numFmtId="0" fontId="5" fillId="2" borderId="0" xfId="0" applyFont="1" applyFill="1" applyAlignment="1">
      <alignment wrapText="1"/>
    </xf>
    <xf numFmtId="0" fontId="0" fillId="2" borderId="0" xfId="0" applyFill="1" applyAlignment="1">
      <alignment wrapText="1"/>
    </xf>
    <xf numFmtId="0" fontId="17" fillId="2" borderId="0" xfId="0" applyFont="1" applyFill="1" applyAlignment="1">
      <alignment wrapText="1"/>
    </xf>
    <xf numFmtId="0" fontId="7" fillId="2" borderId="0" xfId="0" applyFont="1" applyFill="1" applyAlignment="1">
      <alignment textRotation="90" wrapText="1"/>
    </xf>
    <xf numFmtId="0" fontId="6" fillId="2" borderId="0" xfId="0" applyFont="1" applyFill="1" applyAlignment="1">
      <alignment wrapText="1"/>
    </xf>
    <xf numFmtId="0" fontId="29" fillId="3" borderId="7" xfId="0" applyFont="1" applyFill="1" applyBorder="1" applyAlignment="1">
      <alignment horizontal="left" vertical="center"/>
    </xf>
    <xf numFmtId="0" fontId="4" fillId="2" borderId="0" xfId="0" applyFont="1" applyFill="1" applyAlignment="1">
      <alignment vertical="center"/>
    </xf>
    <xf numFmtId="166" fontId="6" fillId="3" borderId="0" xfId="0" applyNumberFormat="1" applyFont="1" applyFill="1" applyAlignment="1">
      <alignment horizontal="left" vertical="top" wrapText="1"/>
    </xf>
    <xf numFmtId="0" fontId="29" fillId="3" borderId="0" xfId="0" applyFont="1" applyFill="1" applyAlignment="1">
      <alignment horizontal="left" vertical="center"/>
    </xf>
    <xf numFmtId="0" fontId="0" fillId="0" borderId="0" xfId="0" quotePrefix="1"/>
    <xf numFmtId="167" fontId="53" fillId="2" borderId="128" xfId="0" applyNumberFormat="1" applyFont="1" applyFill="1" applyBorder="1" applyAlignment="1">
      <alignment horizontal="left" vertical="center"/>
    </xf>
    <xf numFmtId="0" fontId="8" fillId="23" borderId="0" xfId="0" quotePrefix="1" applyFont="1" applyFill="1" applyAlignment="1">
      <alignment wrapText="1"/>
    </xf>
    <xf numFmtId="0" fontId="54" fillId="33" borderId="0" xfId="0" applyFont="1" applyFill="1" applyAlignment="1">
      <alignment wrapText="1"/>
    </xf>
    <xf numFmtId="0" fontId="24" fillId="2" borderId="0" xfId="0" applyFont="1" applyFill="1" applyAlignment="1">
      <alignment vertical="top" wrapText="1"/>
    </xf>
    <xf numFmtId="0" fontId="12" fillId="2" borderId="0" xfId="0" quotePrefix="1" applyFont="1" applyFill="1" applyAlignment="1">
      <alignment horizontal="center" vertical="top"/>
    </xf>
    <xf numFmtId="0" fontId="57" fillId="2" borderId="0" xfId="0" applyFont="1" applyFill="1" applyAlignment="1">
      <alignment horizontal="center" vertical="top" wrapText="1"/>
    </xf>
    <xf numFmtId="0" fontId="12" fillId="2" borderId="0" xfId="0" quotePrefix="1" applyFont="1" applyFill="1" applyAlignment="1">
      <alignment horizontal="center" vertical="center"/>
    </xf>
    <xf numFmtId="0" fontId="56" fillId="2" borderId="0" xfId="0" applyFont="1" applyFill="1" applyAlignment="1">
      <alignment vertical="top" wrapText="1"/>
    </xf>
    <xf numFmtId="0" fontId="58" fillId="2" borderId="0" xfId="0" applyFont="1" applyFill="1"/>
    <xf numFmtId="0" fontId="59" fillId="2" borderId="0" xfId="0" applyFont="1" applyFill="1" applyAlignment="1">
      <alignment vertical="top" wrapText="1"/>
    </xf>
    <xf numFmtId="0" fontId="37" fillId="24" borderId="19" xfId="0" applyFont="1" applyFill="1" applyBorder="1" applyAlignment="1">
      <alignment horizontal="right" vertical="center"/>
    </xf>
    <xf numFmtId="0" fontId="13" fillId="12" borderId="0" xfId="0" applyFont="1" applyFill="1" applyAlignment="1">
      <alignment vertical="top"/>
    </xf>
    <xf numFmtId="0" fontId="13" fillId="13" borderId="0" xfId="0" applyFont="1" applyFill="1" applyAlignment="1">
      <alignment vertical="top"/>
    </xf>
    <xf numFmtId="0" fontId="13" fillId="7" borderId="0" xfId="0" applyFont="1" applyFill="1" applyAlignment="1">
      <alignment vertical="center"/>
    </xf>
    <xf numFmtId="0" fontId="12" fillId="7" borderId="0" xfId="0" applyFont="1" applyFill="1" applyAlignment="1">
      <alignment vertical="center"/>
    </xf>
    <xf numFmtId="0" fontId="13" fillId="11" borderId="0" xfId="0" applyFont="1" applyFill="1" applyAlignment="1">
      <alignment vertical="top"/>
    </xf>
    <xf numFmtId="0" fontId="13" fillId="8" borderId="0" xfId="0" applyFont="1" applyFill="1" applyAlignment="1">
      <alignment vertical="top"/>
    </xf>
    <xf numFmtId="0" fontId="13" fillId="9" borderId="0" xfId="0" applyFont="1" applyFill="1" applyAlignment="1">
      <alignment vertical="top"/>
    </xf>
    <xf numFmtId="0" fontId="13" fillId="10" borderId="0" xfId="0" applyFont="1" applyFill="1" applyAlignment="1">
      <alignment vertical="top"/>
    </xf>
    <xf numFmtId="0" fontId="13" fillId="14" borderId="0" xfId="0" applyFont="1" applyFill="1" applyAlignment="1">
      <alignment vertical="top"/>
    </xf>
    <xf numFmtId="0" fontId="4" fillId="6" borderId="129" xfId="0" applyFont="1" applyFill="1" applyBorder="1"/>
    <xf numFmtId="0" fontId="4" fillId="0" borderId="129" xfId="0" applyFont="1" applyBorder="1"/>
    <xf numFmtId="0" fontId="61" fillId="35" borderId="130" xfId="0" applyFont="1" applyFill="1" applyBorder="1"/>
    <xf numFmtId="0" fontId="4" fillId="0" borderId="131" xfId="0" applyFont="1" applyBorder="1"/>
    <xf numFmtId="0" fontId="4" fillId="0" borderId="130" xfId="0" applyFont="1" applyBorder="1"/>
    <xf numFmtId="0" fontId="0" fillId="36" borderId="132" xfId="0" applyFill="1" applyBorder="1"/>
    <xf numFmtId="0" fontId="4" fillId="3" borderId="40" xfId="0" applyFont="1" applyFill="1" applyBorder="1" applyAlignment="1">
      <alignment horizontal="left" vertical="top" wrapText="1" indent="1"/>
    </xf>
    <xf numFmtId="0" fontId="4" fillId="3" borderId="41" xfId="0" applyFont="1" applyFill="1" applyBorder="1" applyAlignment="1">
      <alignment horizontal="left" vertical="top" wrapText="1" indent="1"/>
    </xf>
    <xf numFmtId="0" fontId="4" fillId="3" borderId="0" xfId="0" applyFont="1" applyFill="1" applyAlignment="1">
      <alignment vertical="center"/>
    </xf>
    <xf numFmtId="0" fontId="25" fillId="3" borderId="0" xfId="0" applyFont="1" applyFill="1" applyAlignment="1">
      <alignment vertical="center"/>
    </xf>
    <xf numFmtId="0" fontId="12" fillId="4" borderId="6" xfId="0" applyFont="1" applyFill="1" applyBorder="1" applyAlignment="1">
      <alignment vertical="center"/>
    </xf>
    <xf numFmtId="0" fontId="45" fillId="4" borderId="0" xfId="1" applyFont="1" applyFill="1" applyAlignment="1">
      <alignment horizontal="center" vertical="center" wrapText="1"/>
    </xf>
    <xf numFmtId="0" fontId="22" fillId="23" borderId="0" xfId="0" applyFont="1" applyFill="1" applyAlignment="1">
      <alignment vertical="top" wrapText="1"/>
    </xf>
    <xf numFmtId="0" fontId="55" fillId="23" borderId="0" xfId="0" applyFont="1" applyFill="1" applyAlignment="1">
      <alignment vertical="center"/>
    </xf>
    <xf numFmtId="0" fontId="14" fillId="3" borderId="0" xfId="0" applyFont="1" applyFill="1" applyAlignment="1">
      <alignment vertical="center"/>
    </xf>
    <xf numFmtId="0" fontId="4" fillId="3" borderId="0" xfId="0" applyFont="1" applyFill="1" applyAlignment="1">
      <alignment vertical="center" wrapText="1"/>
    </xf>
    <xf numFmtId="0" fontId="4" fillId="3" borderId="0" xfId="0" applyFont="1" applyFill="1" applyAlignment="1">
      <alignment vertical="top" wrapText="1"/>
    </xf>
    <xf numFmtId="0" fontId="28" fillId="3" borderId="59" xfId="0" applyFont="1" applyFill="1" applyBorder="1" applyAlignment="1">
      <alignment horizontal="left" vertical="center" indent="1"/>
    </xf>
    <xf numFmtId="0" fontId="4" fillId="3" borderId="0" xfId="0" applyFont="1" applyFill="1" applyAlignment="1">
      <alignment horizontal="left" vertical="top" wrapText="1"/>
    </xf>
    <xf numFmtId="0" fontId="48" fillId="24" borderId="68" xfId="0" applyFont="1" applyFill="1" applyBorder="1" applyAlignment="1">
      <alignment horizontal="right" vertical="center"/>
    </xf>
    <xf numFmtId="0" fontId="48" fillId="24" borderId="105" xfId="0" applyFont="1" applyFill="1" applyBorder="1" applyAlignment="1">
      <alignment horizontal="right" vertical="center"/>
    </xf>
    <xf numFmtId="0" fontId="48" fillId="24" borderId="106" xfId="0" applyFont="1" applyFill="1" applyBorder="1" applyAlignment="1">
      <alignment horizontal="right" vertical="center"/>
    </xf>
    <xf numFmtId="0" fontId="44" fillId="21" borderId="1" xfId="0" applyFont="1" applyFill="1" applyBorder="1" applyAlignment="1">
      <alignment horizontal="left" vertical="center" wrapText="1" indent="1"/>
    </xf>
    <xf numFmtId="0" fontId="44" fillId="21" borderId="2" xfId="0" applyFont="1" applyFill="1" applyBorder="1" applyAlignment="1">
      <alignment horizontal="left" vertical="center" wrapText="1" indent="1"/>
    </xf>
    <xf numFmtId="0" fontId="44" fillId="21" borderId="3" xfId="0" applyFont="1" applyFill="1" applyBorder="1" applyAlignment="1">
      <alignment horizontal="left" vertical="center" wrapText="1" indent="1"/>
    </xf>
    <xf numFmtId="0" fontId="19" fillId="20" borderId="8" xfId="0" applyFont="1" applyFill="1" applyBorder="1" applyAlignment="1">
      <alignment horizontal="left" vertical="center" wrapText="1" indent="1"/>
    </xf>
    <xf numFmtId="0" fontId="19" fillId="20" borderId="9" xfId="0" applyFont="1" applyFill="1" applyBorder="1" applyAlignment="1">
      <alignment horizontal="left" vertical="center" wrapText="1" indent="1"/>
    </xf>
    <xf numFmtId="0" fontId="19" fillId="20" borderId="10" xfId="0" applyFont="1" applyFill="1" applyBorder="1" applyAlignment="1">
      <alignment horizontal="left" vertical="center" wrapText="1" indent="1"/>
    </xf>
    <xf numFmtId="0" fontId="47" fillId="2" borderId="107" xfId="1" applyFont="1" applyFill="1" applyBorder="1" applyAlignment="1">
      <alignment horizontal="center" vertical="center" wrapText="1"/>
    </xf>
    <xf numFmtId="0" fontId="47" fillId="2" borderId="108" xfId="1" applyFont="1" applyFill="1" applyBorder="1" applyAlignment="1">
      <alignment horizontal="center" vertical="center" wrapText="1"/>
    </xf>
    <xf numFmtId="0" fontId="47" fillId="2" borderId="109" xfId="1" applyFont="1" applyFill="1" applyBorder="1" applyAlignment="1">
      <alignment horizontal="center" vertical="center" wrapText="1"/>
    </xf>
    <xf numFmtId="0" fontId="47" fillId="2" borderId="110" xfId="1" applyFont="1" applyFill="1" applyBorder="1" applyAlignment="1">
      <alignment horizontal="center" vertical="center" wrapText="1"/>
    </xf>
    <xf numFmtId="0" fontId="47" fillId="2" borderId="111" xfId="1" applyFont="1" applyFill="1" applyBorder="1" applyAlignment="1">
      <alignment horizontal="center" vertical="center" wrapText="1"/>
    </xf>
    <xf numFmtId="0" fontId="47" fillId="2" borderId="112" xfId="1" applyFont="1" applyFill="1" applyBorder="1" applyAlignment="1">
      <alignment horizontal="center" vertical="center" wrapText="1"/>
    </xf>
    <xf numFmtId="0" fontId="46" fillId="29" borderId="107" xfId="1" applyFont="1" applyFill="1" applyBorder="1" applyAlignment="1">
      <alignment horizontal="center" vertical="center" wrapText="1"/>
    </xf>
    <xf numFmtId="0" fontId="46" fillId="29" borderId="108" xfId="1" applyFont="1" applyFill="1" applyBorder="1" applyAlignment="1">
      <alignment horizontal="center" vertical="center" wrapText="1"/>
    </xf>
    <xf numFmtId="0" fontId="46" fillId="29" borderId="109" xfId="1" applyFont="1" applyFill="1" applyBorder="1" applyAlignment="1">
      <alignment horizontal="center" vertical="center" wrapText="1"/>
    </xf>
    <xf numFmtId="0" fontId="46" fillId="29" borderId="110" xfId="1" applyFont="1" applyFill="1" applyBorder="1" applyAlignment="1">
      <alignment horizontal="center" vertical="center" wrapText="1"/>
    </xf>
    <xf numFmtId="0" fontId="46" fillId="29" borderId="111" xfId="1" applyFont="1" applyFill="1" applyBorder="1" applyAlignment="1">
      <alignment horizontal="center" vertical="center" wrapText="1"/>
    </xf>
    <xf numFmtId="0" fontId="46" fillId="29" borderId="112" xfId="1" applyFont="1" applyFill="1" applyBorder="1" applyAlignment="1">
      <alignment horizontal="center" vertical="center" wrapText="1"/>
    </xf>
    <xf numFmtId="0" fontId="4" fillId="3" borderId="46" xfId="0" applyFont="1" applyFill="1" applyBorder="1" applyAlignment="1">
      <alignment vertical="center" wrapText="1"/>
    </xf>
    <xf numFmtId="0" fontId="36" fillId="25" borderId="101" xfId="0" applyFont="1" applyFill="1" applyBorder="1" applyAlignment="1">
      <alignment vertical="center"/>
    </xf>
    <xf numFmtId="0" fontId="36" fillId="25" borderId="102" xfId="0" applyFont="1" applyFill="1" applyBorder="1" applyAlignment="1">
      <alignment vertical="center"/>
    </xf>
    <xf numFmtId="0" fontId="36" fillId="25" borderId="103" xfId="0" applyFont="1" applyFill="1" applyBorder="1" applyAlignment="1">
      <alignment vertical="center"/>
    </xf>
    <xf numFmtId="0" fontId="4" fillId="3" borderId="0" xfId="0" applyFont="1" applyFill="1" applyAlignment="1">
      <alignment wrapText="1"/>
    </xf>
    <xf numFmtId="0" fontId="4" fillId="3" borderId="4" xfId="0" applyFont="1" applyFill="1" applyBorder="1" applyAlignment="1">
      <alignment vertical="center" wrapText="1"/>
    </xf>
    <xf numFmtId="0" fontId="43" fillId="27" borderId="90" xfId="0" applyFont="1" applyFill="1" applyBorder="1" applyAlignment="1">
      <alignment horizontal="right" vertical="center"/>
    </xf>
    <xf numFmtId="0" fontId="43" fillId="27" borderId="96" xfId="0" applyFont="1" applyFill="1" applyBorder="1" applyAlignment="1">
      <alignment horizontal="right" vertical="center"/>
    </xf>
    <xf numFmtId="0" fontId="43" fillId="27" borderId="91" xfId="0" applyFont="1" applyFill="1" applyBorder="1" applyAlignment="1">
      <alignment horizontal="right" vertical="center"/>
    </xf>
    <xf numFmtId="0" fontId="19" fillId="22" borderId="38" xfId="0" applyFont="1" applyFill="1" applyBorder="1" applyAlignment="1">
      <alignment horizontal="left" vertical="center" wrapText="1" indent="1"/>
    </xf>
    <xf numFmtId="0" fontId="19" fillId="22" borderId="53" xfId="0" applyFont="1" applyFill="1" applyBorder="1" applyAlignment="1">
      <alignment horizontal="left" vertical="center" wrapText="1" indent="1"/>
    </xf>
    <xf numFmtId="0" fontId="19" fillId="22" borderId="39" xfId="0" applyFont="1" applyFill="1" applyBorder="1" applyAlignment="1">
      <alignment horizontal="left" vertical="center" wrapText="1" indent="1"/>
    </xf>
    <xf numFmtId="0" fontId="4" fillId="15" borderId="56" xfId="0" applyFont="1" applyFill="1" applyBorder="1" applyAlignment="1">
      <alignment horizontal="left" vertical="top" wrapText="1"/>
    </xf>
    <xf numFmtId="0" fontId="4" fillId="15" borderId="42" xfId="0" applyFont="1" applyFill="1" applyBorder="1" applyAlignment="1">
      <alignment horizontal="left" vertical="top" wrapText="1"/>
    </xf>
    <xf numFmtId="0" fontId="4" fillId="15" borderId="57" xfId="0" applyFont="1" applyFill="1" applyBorder="1" applyAlignment="1">
      <alignment horizontal="left" vertical="top" wrapText="1"/>
    </xf>
    <xf numFmtId="0" fontId="4" fillId="15" borderId="45" xfId="0" applyFont="1" applyFill="1" applyBorder="1" applyAlignment="1">
      <alignment horizontal="left" vertical="top" wrapText="1"/>
    </xf>
    <xf numFmtId="0" fontId="4" fillId="15" borderId="0" xfId="0" applyFont="1" applyFill="1" applyAlignment="1">
      <alignment horizontal="left" vertical="top" wrapText="1"/>
    </xf>
    <xf numFmtId="0" fontId="4" fillId="15" borderId="58" xfId="0" applyFont="1" applyFill="1" applyBorder="1" applyAlignment="1">
      <alignment horizontal="left" vertical="top" wrapText="1"/>
    </xf>
    <xf numFmtId="0" fontId="4" fillId="15" borderId="54" xfId="0" applyFont="1" applyFill="1" applyBorder="1" applyAlignment="1">
      <alignment horizontal="left" vertical="top" wrapText="1"/>
    </xf>
    <xf numFmtId="0" fontId="4" fillId="15" borderId="46" xfId="0" applyFont="1" applyFill="1" applyBorder="1" applyAlignment="1">
      <alignment horizontal="left" vertical="top" wrapText="1"/>
    </xf>
    <xf numFmtId="0" fontId="4" fillId="15" borderId="55" xfId="0" applyFont="1" applyFill="1" applyBorder="1" applyAlignment="1">
      <alignment horizontal="left" vertical="top" wrapText="1"/>
    </xf>
    <xf numFmtId="0" fontId="4" fillId="3" borderId="42" xfId="0" applyFont="1" applyFill="1" applyBorder="1" applyAlignment="1">
      <alignment horizontal="left" vertical="center" indent="1"/>
    </xf>
    <xf numFmtId="0" fontId="4" fillId="3" borderId="0" xfId="0" applyFont="1" applyFill="1" applyAlignment="1">
      <alignment horizontal="left" vertical="center" indent="1"/>
    </xf>
    <xf numFmtId="0" fontId="4" fillId="3" borderId="42" xfId="0" applyFont="1" applyFill="1" applyBorder="1" applyAlignment="1">
      <alignment vertical="top" wrapText="1"/>
    </xf>
    <xf numFmtId="0" fontId="46" fillId="29" borderId="0" xfId="1" applyFont="1" applyFill="1" applyAlignment="1">
      <alignment horizontal="center" vertical="center" wrapText="1"/>
    </xf>
    <xf numFmtId="0" fontId="47" fillId="2" borderId="98" xfId="1" applyFont="1" applyFill="1" applyBorder="1" applyAlignment="1">
      <alignment horizontal="center" vertical="center" wrapText="1"/>
    </xf>
    <xf numFmtId="0" fontId="47" fillId="2" borderId="99" xfId="1" applyFont="1" applyFill="1" applyBorder="1" applyAlignment="1">
      <alignment horizontal="center" vertical="center" wrapText="1"/>
    </xf>
    <xf numFmtId="0" fontId="47" fillId="2" borderId="100" xfId="1" applyFont="1" applyFill="1" applyBorder="1" applyAlignment="1">
      <alignment horizontal="center" vertical="center" wrapText="1"/>
    </xf>
    <xf numFmtId="0" fontId="37" fillId="24" borderId="104" xfId="0" applyFont="1" applyFill="1" applyBorder="1" applyAlignment="1">
      <alignment horizontal="right" vertical="center"/>
    </xf>
    <xf numFmtId="0" fontId="37" fillId="24" borderId="0" xfId="0" applyFont="1" applyFill="1" applyAlignment="1">
      <alignment horizontal="right" vertical="center"/>
    </xf>
    <xf numFmtId="0" fontId="38" fillId="4" borderId="98" xfId="0" applyFont="1" applyFill="1" applyBorder="1" applyAlignment="1">
      <alignment horizontal="left" vertical="center" indent="1"/>
    </xf>
    <xf numFmtId="0" fontId="38" fillId="4" borderId="100" xfId="0" applyFont="1" applyFill="1" applyBorder="1" applyAlignment="1">
      <alignment horizontal="left" vertical="center" indent="1"/>
    </xf>
    <xf numFmtId="0" fontId="49" fillId="2" borderId="0" xfId="0" applyFont="1" applyFill="1" applyAlignment="1">
      <alignment horizontal="left"/>
    </xf>
    <xf numFmtId="0" fontId="4" fillId="2" borderId="0" xfId="0" applyFont="1" applyFill="1" applyAlignment="1">
      <alignment horizontal="left" vertical="center"/>
    </xf>
    <xf numFmtId="0" fontId="46" fillId="26" borderId="0" xfId="1" applyFont="1" applyFill="1" applyAlignment="1">
      <alignment horizontal="center" vertical="center" wrapText="1"/>
    </xf>
    <xf numFmtId="0" fontId="47" fillId="2" borderId="82" xfId="1" applyFont="1" applyFill="1" applyBorder="1" applyAlignment="1">
      <alignment horizontal="center" vertical="center" wrapText="1"/>
    </xf>
    <xf numFmtId="0" fontId="47" fillId="2" borderId="113" xfId="1" applyFont="1" applyFill="1" applyBorder="1" applyAlignment="1">
      <alignment horizontal="center" vertical="center" wrapText="1"/>
    </xf>
    <xf numFmtId="0" fontId="47" fillId="2" borderId="83" xfId="1" applyFont="1" applyFill="1" applyBorder="1" applyAlignment="1">
      <alignment horizontal="center" vertical="center" wrapText="1"/>
    </xf>
    <xf numFmtId="0" fontId="47" fillId="2" borderId="84" xfId="1" applyFont="1" applyFill="1" applyBorder="1" applyAlignment="1">
      <alignment horizontal="center" vertical="center" wrapText="1"/>
    </xf>
    <xf numFmtId="0" fontId="47" fillId="2" borderId="69" xfId="1" applyFont="1" applyFill="1" applyBorder="1" applyAlignment="1">
      <alignment horizontal="center" vertical="center" wrapText="1"/>
    </xf>
    <xf numFmtId="0" fontId="47" fillId="2" borderId="85" xfId="1" applyFont="1" applyFill="1" applyBorder="1" applyAlignment="1">
      <alignment horizontal="center" vertical="center" wrapText="1"/>
    </xf>
    <xf numFmtId="0" fontId="14" fillId="3" borderId="81" xfId="0" applyFont="1" applyFill="1" applyBorder="1" applyAlignment="1">
      <alignment vertical="center"/>
    </xf>
    <xf numFmtId="0" fontId="8" fillId="19" borderId="0" xfId="0" applyFont="1" applyFill="1" applyAlignment="1">
      <alignment horizontal="center"/>
    </xf>
    <xf numFmtId="0" fontId="4" fillId="28" borderId="42" xfId="0" applyFont="1" applyFill="1" applyBorder="1" applyAlignment="1">
      <alignment horizontal="left" vertical="center" indent="1"/>
    </xf>
    <xf numFmtId="0" fontId="4" fillId="28" borderId="0" xfId="0" applyFont="1" applyFill="1" applyAlignment="1">
      <alignment horizontal="left" vertical="center" indent="1"/>
    </xf>
    <xf numFmtId="0" fontId="10" fillId="28" borderId="97" xfId="0" applyFont="1" applyFill="1" applyBorder="1" applyAlignment="1">
      <alignment horizontal="center" vertical="center"/>
    </xf>
    <xf numFmtId="0" fontId="10" fillId="28" borderId="0" xfId="0" applyFont="1" applyFill="1" applyAlignment="1">
      <alignment horizontal="center" vertical="center"/>
    </xf>
    <xf numFmtId="0" fontId="11" fillId="19" borderId="0" xfId="0" applyFont="1" applyFill="1" applyAlignment="1">
      <alignment horizontal="center" vertical="center"/>
    </xf>
    <xf numFmtId="0" fontId="10" fillId="28" borderId="43" xfId="0" applyFont="1" applyFill="1" applyBorder="1" applyAlignment="1">
      <alignment horizontal="center" vertical="center"/>
    </xf>
    <xf numFmtId="0" fontId="4" fillId="28" borderId="45" xfId="0" applyFont="1" applyFill="1" applyBorder="1" applyAlignment="1">
      <alignment horizontal="center"/>
    </xf>
    <xf numFmtId="0" fontId="4" fillId="28" borderId="43" xfId="0" applyFont="1" applyFill="1" applyBorder="1" applyAlignment="1">
      <alignment horizontal="center"/>
    </xf>
    <xf numFmtId="0" fontId="51" fillId="31" borderId="0" xfId="0" applyFont="1" applyFill="1" applyAlignment="1">
      <alignment vertical="center"/>
    </xf>
    <xf numFmtId="0" fontId="35" fillId="32" borderId="126" xfId="0" applyFont="1" applyFill="1" applyBorder="1" applyAlignment="1">
      <alignment horizontal="left" vertical="center"/>
    </xf>
    <xf numFmtId="0" fontId="35" fillId="32" borderId="127" xfId="0" applyFont="1" applyFill="1" applyBorder="1" applyAlignment="1">
      <alignment horizontal="left" vertical="center"/>
    </xf>
    <xf numFmtId="0" fontId="41" fillId="15" borderId="38" xfId="0" applyFont="1" applyFill="1" applyBorder="1" applyAlignment="1">
      <alignment vertical="center"/>
    </xf>
    <xf numFmtId="0" fontId="41" fillId="15" borderId="39" xfId="0" applyFont="1" applyFill="1" applyBorder="1" applyAlignment="1">
      <alignment vertical="center"/>
    </xf>
    <xf numFmtId="0" fontId="40" fillId="27" borderId="90" xfId="0" applyFont="1" applyFill="1" applyBorder="1" applyAlignment="1">
      <alignment horizontal="right" vertical="center"/>
    </xf>
    <xf numFmtId="0" fontId="40" fillId="27" borderId="91" xfId="0" applyFont="1" applyFill="1" applyBorder="1" applyAlignment="1">
      <alignment horizontal="right" vertical="center"/>
    </xf>
    <xf numFmtId="0" fontId="40" fillId="27" borderId="92" xfId="0" applyFont="1" applyFill="1" applyBorder="1" applyAlignment="1">
      <alignment horizontal="right" vertical="center"/>
    </xf>
    <xf numFmtId="0" fontId="40" fillId="27" borderId="93" xfId="0" applyFont="1" applyFill="1" applyBorder="1" applyAlignment="1">
      <alignment horizontal="right" vertical="center"/>
    </xf>
    <xf numFmtId="0" fontId="40" fillId="27" borderId="94" xfId="0" applyFont="1" applyFill="1" applyBorder="1" applyAlignment="1">
      <alignment horizontal="right" vertical="center"/>
    </xf>
    <xf numFmtId="0" fontId="40" fillId="27" borderId="95" xfId="0" applyFont="1" applyFill="1" applyBorder="1" applyAlignment="1">
      <alignment horizontal="right" vertical="center"/>
    </xf>
    <xf numFmtId="0" fontId="42" fillId="15" borderId="56" xfId="0" applyFont="1" applyFill="1" applyBorder="1" applyAlignment="1">
      <alignment horizontal="left" vertical="top" wrapText="1" indent="1"/>
    </xf>
    <xf numFmtId="0" fontId="42" fillId="15" borderId="42" xfId="0" applyFont="1" applyFill="1" applyBorder="1" applyAlignment="1">
      <alignment horizontal="left" vertical="top" wrapText="1" indent="1"/>
    </xf>
    <xf numFmtId="0" fontId="42" fillId="15" borderId="57" xfId="0" applyFont="1" applyFill="1" applyBorder="1" applyAlignment="1">
      <alignment horizontal="left" vertical="top" wrapText="1" indent="1"/>
    </xf>
    <xf numFmtId="0" fontId="42" fillId="15" borderId="45" xfId="0" applyFont="1" applyFill="1" applyBorder="1" applyAlignment="1">
      <alignment horizontal="left" vertical="top" wrapText="1" indent="1"/>
    </xf>
    <xf numFmtId="0" fontId="42" fillId="15" borderId="0" xfId="0" applyFont="1" applyFill="1" applyAlignment="1">
      <alignment horizontal="left" vertical="top" wrapText="1" indent="1"/>
    </xf>
    <xf numFmtId="0" fontId="42" fillId="15" borderId="58" xfId="0" applyFont="1" applyFill="1" applyBorder="1" applyAlignment="1">
      <alignment horizontal="left" vertical="top" wrapText="1" indent="1"/>
    </xf>
    <xf numFmtId="0" fontId="42" fillId="15" borderId="54" xfId="0" applyFont="1" applyFill="1" applyBorder="1" applyAlignment="1">
      <alignment horizontal="left" vertical="top" wrapText="1" indent="1"/>
    </xf>
    <xf numFmtId="0" fontId="42" fillId="15" borderId="46" xfId="0" applyFont="1" applyFill="1" applyBorder="1" applyAlignment="1">
      <alignment horizontal="left" vertical="top" wrapText="1" indent="1"/>
    </xf>
    <xf numFmtId="0" fontId="42" fillId="15" borderId="55" xfId="0" applyFont="1" applyFill="1" applyBorder="1" applyAlignment="1">
      <alignment horizontal="left" vertical="top" wrapText="1" indent="1"/>
    </xf>
    <xf numFmtId="0" fontId="4" fillId="2" borderId="0" xfId="0" applyFont="1" applyFill="1" applyAlignment="1">
      <alignment vertical="center"/>
    </xf>
    <xf numFmtId="0" fontId="40" fillId="27" borderId="89" xfId="0" applyFont="1" applyFill="1" applyBorder="1" applyAlignment="1">
      <alignment horizontal="right" vertical="center"/>
    </xf>
    <xf numFmtId="0" fontId="40" fillId="27" borderId="88" xfId="0" applyFont="1" applyFill="1" applyBorder="1" applyAlignment="1">
      <alignment horizontal="right" vertical="center"/>
    </xf>
    <xf numFmtId="0" fontId="10" fillId="28" borderId="44" xfId="0" applyFont="1" applyFill="1" applyBorder="1" applyAlignment="1">
      <alignment horizontal="center" vertical="center"/>
    </xf>
    <xf numFmtId="0" fontId="4" fillId="3" borderId="0" xfId="0" applyFont="1" applyFill="1" applyAlignment="1">
      <alignment vertical="center"/>
    </xf>
    <xf numFmtId="0" fontId="39" fillId="18" borderId="0" xfId="1" applyFont="1" applyFill="1" applyAlignment="1">
      <alignment horizontal="center" vertical="center" wrapText="1"/>
    </xf>
    <xf numFmtId="0" fontId="37" fillId="2" borderId="12" xfId="1" applyFont="1" applyFill="1" applyBorder="1" applyAlignment="1">
      <alignment horizontal="center" vertical="center" wrapText="1"/>
    </xf>
    <xf numFmtId="0" fontId="37" fillId="2" borderId="4" xfId="1" applyFont="1" applyFill="1" applyBorder="1" applyAlignment="1">
      <alignment horizontal="center" vertical="center" wrapText="1"/>
    </xf>
    <xf numFmtId="0" fontId="37" fillId="2" borderId="13" xfId="1" applyFont="1" applyFill="1" applyBorder="1" applyAlignment="1">
      <alignment horizontal="center" vertical="center" wrapText="1"/>
    </xf>
    <xf numFmtId="0" fontId="37" fillId="2" borderId="15" xfId="1" applyFont="1" applyFill="1" applyBorder="1" applyAlignment="1">
      <alignment horizontal="center" vertical="center" wrapText="1"/>
    </xf>
    <xf numFmtId="0" fontId="37" fillId="2" borderId="11" xfId="1" applyFont="1" applyFill="1" applyBorder="1" applyAlignment="1">
      <alignment horizontal="center" vertical="center" wrapText="1"/>
    </xf>
    <xf numFmtId="0" fontId="37" fillId="2" borderId="16" xfId="1" applyFont="1" applyFill="1" applyBorder="1" applyAlignment="1">
      <alignment horizontal="center" vertical="center" wrapText="1"/>
    </xf>
    <xf numFmtId="0" fontId="10" fillId="28" borderId="40" xfId="0" applyFont="1" applyFill="1" applyBorder="1" applyAlignment="1">
      <alignment horizontal="center" vertical="center"/>
    </xf>
    <xf numFmtId="0" fontId="4" fillId="28" borderId="42" xfId="0" applyFont="1" applyFill="1" applyBorder="1" applyAlignment="1">
      <alignment horizontal="left" vertical="center"/>
    </xf>
    <xf numFmtId="0" fontId="4" fillId="28" borderId="40" xfId="0" applyFont="1" applyFill="1" applyBorder="1" applyAlignment="1">
      <alignment horizontal="center"/>
    </xf>
    <xf numFmtId="0" fontId="4" fillId="3" borderId="60" xfId="0" applyFont="1" applyFill="1" applyBorder="1" applyAlignment="1">
      <alignment horizontal="left" vertical="top" wrapText="1" indent="1"/>
    </xf>
    <xf numFmtId="0" fontId="4" fillId="2" borderId="0" xfId="0" applyFont="1" applyFill="1" applyAlignment="1">
      <alignment vertical="center" wrapText="1"/>
    </xf>
    <xf numFmtId="0" fontId="12" fillId="3" borderId="61" xfId="0" applyFont="1" applyFill="1" applyBorder="1" applyAlignment="1">
      <alignment horizontal="left" vertical="top" indent="1"/>
    </xf>
    <xf numFmtId="0" fontId="12" fillId="3" borderId="62" xfId="0" applyFont="1" applyFill="1" applyBorder="1" applyAlignment="1">
      <alignment horizontal="left" vertical="top" indent="1"/>
    </xf>
    <xf numFmtId="0" fontId="25" fillId="3" borderId="115" xfId="0" applyFont="1" applyFill="1" applyBorder="1" applyAlignment="1">
      <alignment horizontal="left" vertical="center" indent="1"/>
    </xf>
    <xf numFmtId="0" fontId="25" fillId="3" borderId="11" xfId="0" applyFont="1" applyFill="1" applyBorder="1" applyAlignment="1">
      <alignment horizontal="left" vertical="center" indent="1"/>
    </xf>
    <xf numFmtId="0" fontId="4" fillId="3" borderId="114" xfId="0" applyFont="1" applyFill="1" applyBorder="1" applyAlignment="1">
      <alignment horizontal="left" vertical="center" indent="1"/>
    </xf>
    <xf numFmtId="0" fontId="4" fillId="3" borderId="114" xfId="0" applyFont="1" applyFill="1" applyBorder="1" applyAlignment="1">
      <alignment horizontal="left" vertical="top" wrapText="1" indent="1"/>
    </xf>
    <xf numFmtId="0" fontId="4" fillId="3" borderId="0" xfId="0" applyFont="1" applyFill="1" applyAlignment="1">
      <alignment horizontal="left" vertical="top" wrapText="1" indent="1"/>
    </xf>
    <xf numFmtId="0" fontId="4" fillId="3" borderId="0" xfId="0" applyFont="1" applyFill="1" applyAlignment="1">
      <alignment horizontal="left"/>
    </xf>
    <xf numFmtId="0" fontId="39" fillId="29" borderId="0" xfId="1" applyFont="1" applyFill="1" applyAlignment="1">
      <alignment horizontal="center" vertical="center" wrapText="1"/>
    </xf>
    <xf numFmtId="0" fontId="25" fillId="3" borderId="49" xfId="0" applyFont="1" applyFill="1" applyBorder="1" applyAlignment="1">
      <alignment horizontal="left" vertical="center" indent="1"/>
    </xf>
    <xf numFmtId="0" fontId="4" fillId="3" borderId="116" xfId="0" applyFont="1" applyFill="1" applyBorder="1" applyAlignment="1">
      <alignment horizontal="left" vertical="center" indent="1"/>
    </xf>
    <xf numFmtId="0" fontId="4" fillId="3" borderId="117" xfId="0" applyFont="1" applyFill="1" applyBorder="1" applyAlignment="1">
      <alignment horizontal="left" vertical="center" indent="1"/>
    </xf>
    <xf numFmtId="0" fontId="4" fillId="3" borderId="40" xfId="0" applyFont="1" applyFill="1" applyBorder="1" applyAlignment="1">
      <alignment horizontal="left" vertical="top" wrapText="1" indent="1"/>
    </xf>
    <xf numFmtId="0" fontId="45" fillId="2" borderId="107" xfId="1" applyFont="1" applyFill="1" applyBorder="1" applyAlignment="1">
      <alignment horizontal="center" vertical="center" wrapText="1"/>
    </xf>
    <xf numFmtId="0" fontId="45" fillId="2" borderId="109" xfId="1" applyFont="1" applyFill="1" applyBorder="1" applyAlignment="1">
      <alignment horizontal="center" vertical="center" wrapText="1"/>
    </xf>
    <xf numFmtId="0" fontId="45" fillId="2" borderId="110" xfId="1" applyFont="1" applyFill="1" applyBorder="1" applyAlignment="1">
      <alignment horizontal="center" vertical="center" wrapText="1"/>
    </xf>
    <xf numFmtId="0" fontId="45" fillId="2" borderId="112" xfId="1" applyFont="1" applyFill="1" applyBorder="1" applyAlignment="1">
      <alignment horizontal="center" vertical="center" wrapText="1"/>
    </xf>
    <xf numFmtId="0" fontId="12" fillId="7" borderId="0" xfId="0" applyFont="1" applyFill="1" applyAlignment="1">
      <alignment vertical="top" wrapText="1"/>
    </xf>
    <xf numFmtId="0" fontId="4" fillId="12" borderId="0" xfId="0" applyFont="1" applyFill="1" applyAlignment="1">
      <alignment horizontal="center"/>
    </xf>
    <xf numFmtId="0" fontId="18" fillId="14" borderId="0" xfId="0" applyFont="1" applyFill="1" applyAlignment="1">
      <alignment horizontal="left" vertical="top" wrapText="1"/>
    </xf>
    <xf numFmtId="0" fontId="18" fillId="13" borderId="0" xfId="0" applyFont="1" applyFill="1" applyAlignment="1">
      <alignment horizontal="left" vertical="top" wrapText="1" indent="1"/>
    </xf>
    <xf numFmtId="0" fontId="7" fillId="13" borderId="0" xfId="0" applyFont="1" applyFill="1" applyAlignment="1">
      <alignment horizontal="left" vertical="top" wrapText="1"/>
    </xf>
    <xf numFmtId="0" fontId="7" fillId="13" borderId="46" xfId="0" applyFont="1" applyFill="1" applyBorder="1" applyAlignment="1">
      <alignment horizontal="left" vertical="top" wrapText="1"/>
    </xf>
    <xf numFmtId="0" fontId="12" fillId="7" borderId="0" xfId="0" applyFont="1" applyFill="1" applyAlignment="1">
      <alignment vertical="top"/>
    </xf>
    <xf numFmtId="0" fontId="4" fillId="7" borderId="0" xfId="0" applyFont="1" applyFill="1" applyAlignment="1">
      <alignment horizontal="left"/>
    </xf>
    <xf numFmtId="0" fontId="4" fillId="3" borderId="0" xfId="0" applyFont="1" applyFill="1" applyAlignment="1">
      <alignment horizontal="center" vertical="top" wrapText="1"/>
    </xf>
    <xf numFmtId="0" fontId="12" fillId="5" borderId="8" xfId="0" applyFont="1" applyFill="1" applyBorder="1" applyAlignment="1">
      <alignment vertical="center"/>
    </xf>
    <xf numFmtId="0" fontId="12" fillId="5" borderId="9" xfId="0" applyFont="1" applyFill="1" applyBorder="1" applyAlignment="1">
      <alignment vertical="center"/>
    </xf>
    <xf numFmtId="0" fontId="12" fillId="5" borderId="10" xfId="0" applyFont="1" applyFill="1" applyBorder="1" applyAlignment="1">
      <alignment vertical="center"/>
    </xf>
    <xf numFmtId="0" fontId="18" fillId="9" borderId="0" xfId="0" applyFont="1" applyFill="1" applyAlignment="1">
      <alignment horizontal="left" vertical="top" wrapText="1" indent="1"/>
    </xf>
    <xf numFmtId="0" fontId="18" fillId="10" borderId="0" xfId="0" applyFont="1" applyFill="1" applyAlignment="1">
      <alignment horizontal="left" vertical="top" wrapText="1" indent="1"/>
    </xf>
    <xf numFmtId="0" fontId="18" fillId="11" borderId="0" xfId="0" applyFont="1" applyFill="1" applyAlignment="1">
      <alignment horizontal="left" vertical="top" wrapText="1" indent="1"/>
    </xf>
    <xf numFmtId="0" fontId="18" fillId="8" borderId="0" xfId="0" applyFont="1" applyFill="1" applyAlignment="1">
      <alignment horizontal="left" vertical="top" wrapText="1" indent="1"/>
    </xf>
    <xf numFmtId="0" fontId="7" fillId="9" borderId="0" xfId="0" applyFont="1" applyFill="1" applyAlignment="1">
      <alignment horizontal="left" vertical="top" wrapText="1"/>
    </xf>
    <xf numFmtId="0" fontId="7" fillId="9" borderId="46" xfId="0" applyFont="1" applyFill="1" applyBorder="1" applyAlignment="1">
      <alignment horizontal="left" vertical="top" wrapText="1"/>
    </xf>
    <xf numFmtId="0" fontId="7" fillId="8" borderId="0" xfId="0" applyFont="1" applyFill="1" applyAlignment="1">
      <alignment horizontal="left" vertical="top" wrapText="1"/>
    </xf>
    <xf numFmtId="0" fontId="7" fillId="8" borderId="46" xfId="0" applyFont="1" applyFill="1" applyBorder="1" applyAlignment="1">
      <alignment horizontal="left" vertical="top" wrapText="1"/>
    </xf>
    <xf numFmtId="0" fontId="4" fillId="10" borderId="42" xfId="0" applyFont="1" applyFill="1" applyBorder="1" applyAlignment="1">
      <alignment horizontal="center"/>
    </xf>
    <xf numFmtId="0" fontId="4" fillId="11" borderId="42" xfId="0" applyFont="1" applyFill="1" applyBorder="1" applyAlignment="1">
      <alignment horizontal="center"/>
    </xf>
    <xf numFmtId="0" fontId="4" fillId="7" borderId="0" xfId="0" applyFont="1" applyFill="1" applyAlignment="1">
      <alignment horizontal="center"/>
    </xf>
    <xf numFmtId="0" fontId="4" fillId="14" borderId="0" xfId="0" applyFont="1" applyFill="1" applyAlignment="1">
      <alignment horizontal="center"/>
    </xf>
    <xf numFmtId="0" fontId="4" fillId="8" borderId="42" xfId="0" applyFont="1" applyFill="1" applyBorder="1" applyAlignment="1">
      <alignment horizontal="center"/>
    </xf>
    <xf numFmtId="0" fontId="18" fillId="12" borderId="0" xfId="0" applyFont="1" applyFill="1" applyAlignment="1">
      <alignment horizontal="left" vertical="top" wrapText="1" indent="1"/>
    </xf>
    <xf numFmtId="0" fontId="7" fillId="12" borderId="0" xfId="0" applyFont="1" applyFill="1" applyAlignment="1">
      <alignment horizontal="left" vertical="top" wrapText="1"/>
    </xf>
    <xf numFmtId="0" fontId="7" fillId="12" borderId="46" xfId="0" applyFont="1" applyFill="1" applyBorder="1" applyAlignment="1">
      <alignment horizontal="left" vertical="top" wrapText="1"/>
    </xf>
    <xf numFmtId="0" fontId="7" fillId="11" borderId="0" xfId="0" applyFont="1" applyFill="1" applyAlignment="1">
      <alignment horizontal="left" vertical="top" wrapText="1"/>
    </xf>
    <xf numFmtId="0" fontId="7" fillId="11" borderId="46" xfId="0" applyFont="1" applyFill="1" applyBorder="1" applyAlignment="1">
      <alignment horizontal="left" vertical="top" wrapText="1"/>
    </xf>
    <xf numFmtId="0" fontId="7" fillId="10" borderId="0" xfId="0" applyFont="1" applyFill="1" applyAlignment="1">
      <alignment horizontal="left" vertical="top" wrapText="1"/>
    </xf>
    <xf numFmtId="0" fontId="7" fillId="10" borderId="46" xfId="0" applyFont="1" applyFill="1" applyBorder="1" applyAlignment="1">
      <alignment horizontal="left" vertical="top" wrapText="1"/>
    </xf>
    <xf numFmtId="0" fontId="4" fillId="13" borderId="42" xfId="0" applyFont="1" applyFill="1" applyBorder="1" applyAlignment="1">
      <alignment horizontal="center"/>
    </xf>
    <xf numFmtId="0" fontId="4" fillId="12" borderId="42" xfId="0" applyFont="1" applyFill="1" applyBorder="1" applyAlignment="1">
      <alignment horizontal="center"/>
    </xf>
    <xf numFmtId="0" fontId="4" fillId="9" borderId="42" xfId="0" applyFont="1" applyFill="1" applyBorder="1" applyAlignment="1">
      <alignment horizontal="center"/>
    </xf>
    <xf numFmtId="0" fontId="18" fillId="7" borderId="0" xfId="0" applyFont="1" applyFill="1" applyAlignment="1">
      <alignment horizontal="left" vertical="top" wrapText="1" indent="1"/>
    </xf>
    <xf numFmtId="0" fontId="4" fillId="13" borderId="0" xfId="0" applyFont="1" applyFill="1" applyAlignment="1">
      <alignment horizontal="center"/>
    </xf>
    <xf numFmtId="0" fontId="7" fillId="14" borderId="0" xfId="0" applyFont="1" applyFill="1" applyAlignment="1">
      <alignment horizontal="left" vertical="top" wrapText="1"/>
    </xf>
    <xf numFmtId="0" fontId="7" fillId="14" borderId="46" xfId="0" applyFont="1" applyFill="1" applyBorder="1" applyAlignment="1">
      <alignment horizontal="left" vertical="top" wrapText="1"/>
    </xf>
    <xf numFmtId="0" fontId="45" fillId="2" borderId="108" xfId="1" applyFont="1" applyFill="1" applyBorder="1" applyAlignment="1">
      <alignment horizontal="center" vertical="center" wrapText="1"/>
    </xf>
    <xf numFmtId="0" fontId="45" fillId="2" borderId="111" xfId="1" applyFont="1" applyFill="1" applyBorder="1" applyAlignment="1">
      <alignment horizontal="center" vertical="center" wrapText="1"/>
    </xf>
    <xf numFmtId="0" fontId="15" fillId="15" borderId="56" xfId="0" applyFont="1" applyFill="1" applyBorder="1" applyAlignment="1">
      <alignment horizontal="left" vertical="top" wrapText="1" indent="1"/>
    </xf>
    <xf numFmtId="0" fontId="15" fillId="15" borderId="42" xfId="0" applyFont="1" applyFill="1" applyBorder="1" applyAlignment="1">
      <alignment horizontal="left" vertical="top" wrapText="1" indent="1"/>
    </xf>
    <xf numFmtId="0" fontId="15" fillId="15" borderId="57" xfId="0" applyFont="1" applyFill="1" applyBorder="1" applyAlignment="1">
      <alignment horizontal="left" vertical="top" wrapText="1" indent="1"/>
    </xf>
    <xf numFmtId="0" fontId="15" fillId="15" borderId="45" xfId="0" applyFont="1" applyFill="1" applyBorder="1" applyAlignment="1">
      <alignment horizontal="left" vertical="top" wrapText="1" indent="1"/>
    </xf>
    <xf numFmtId="0" fontId="15" fillId="15" borderId="0" xfId="0" applyFont="1" applyFill="1" applyAlignment="1">
      <alignment horizontal="left" vertical="top" wrapText="1" indent="1"/>
    </xf>
    <xf numFmtId="0" fontId="15" fillId="15" borderId="58" xfId="0" applyFont="1" applyFill="1" applyBorder="1" applyAlignment="1">
      <alignment horizontal="left" vertical="top" wrapText="1" indent="1"/>
    </xf>
    <xf numFmtId="0" fontId="15" fillId="15" borderId="54" xfId="0" applyFont="1" applyFill="1" applyBorder="1" applyAlignment="1">
      <alignment horizontal="left" vertical="top" wrapText="1" indent="1"/>
    </xf>
    <xf numFmtId="0" fontId="15" fillId="15" borderId="46" xfId="0" applyFont="1" applyFill="1" applyBorder="1" applyAlignment="1">
      <alignment horizontal="left" vertical="top" wrapText="1" indent="1"/>
    </xf>
    <xf numFmtId="0" fontId="15" fillId="15" borderId="55" xfId="0" applyFont="1" applyFill="1" applyBorder="1" applyAlignment="1">
      <alignment horizontal="left" vertical="top" wrapText="1" indent="1"/>
    </xf>
    <xf numFmtId="0" fontId="4" fillId="8" borderId="0" xfId="0" applyFont="1" applyFill="1" applyAlignment="1">
      <alignment horizontal="center"/>
    </xf>
    <xf numFmtId="0" fontId="4" fillId="9" borderId="0" xfId="0" applyFont="1" applyFill="1" applyAlignment="1">
      <alignment horizontal="center"/>
    </xf>
    <xf numFmtId="0" fontId="4" fillId="10" borderId="0" xfId="0" applyFont="1" applyFill="1" applyAlignment="1">
      <alignment horizontal="center"/>
    </xf>
    <xf numFmtId="0" fontId="4" fillId="11" borderId="0" xfId="0" applyFont="1" applyFill="1" applyAlignment="1">
      <alignment horizontal="center"/>
    </xf>
    <xf numFmtId="0" fontId="4" fillId="2" borderId="0" xfId="0" applyFont="1" applyFill="1" applyAlignment="1">
      <alignment vertical="top" wrapText="1"/>
    </xf>
    <xf numFmtId="0" fontId="14" fillId="3" borderId="0" xfId="0" applyFont="1" applyFill="1" applyAlignment="1">
      <alignment horizontal="left" vertical="center"/>
    </xf>
    <xf numFmtId="0" fontId="12" fillId="3" borderId="0" xfId="0" applyFont="1" applyFill="1" applyAlignment="1">
      <alignment horizontal="center" vertical="center"/>
    </xf>
    <xf numFmtId="0" fontId="39" fillId="29" borderId="107" xfId="1" applyFont="1" applyFill="1" applyBorder="1" applyAlignment="1">
      <alignment horizontal="center" vertical="center" wrapText="1"/>
    </xf>
    <xf numFmtId="0" fontId="39" fillId="29" borderId="109" xfId="1" applyFont="1" applyFill="1" applyBorder="1" applyAlignment="1">
      <alignment horizontal="center" vertical="center" wrapText="1"/>
    </xf>
    <xf numFmtId="0" fontId="39" fillId="29" borderId="110" xfId="1" applyFont="1" applyFill="1" applyBorder="1" applyAlignment="1">
      <alignment horizontal="center" vertical="center" wrapText="1"/>
    </xf>
    <xf numFmtId="0" fontId="39" fillId="29" borderId="112" xfId="1" applyFont="1" applyFill="1" applyBorder="1" applyAlignment="1">
      <alignment horizontal="center" vertical="center" wrapText="1"/>
    </xf>
    <xf numFmtId="0" fontId="26" fillId="3" borderId="0" xfId="0" applyFont="1" applyFill="1" applyAlignment="1">
      <alignment horizontal="left" vertical="top" wrapText="1" indent="1"/>
    </xf>
    <xf numFmtId="0" fontId="25" fillId="3" borderId="114" xfId="0" applyFont="1" applyFill="1" applyBorder="1" applyAlignment="1">
      <alignment horizontal="center" vertical="center"/>
    </xf>
    <xf numFmtId="0" fontId="25" fillId="3" borderId="0" xfId="0" applyFont="1" applyFill="1" applyAlignment="1">
      <alignment horizontal="center" vertical="center"/>
    </xf>
    <xf numFmtId="0" fontId="25" fillId="3" borderId="40" xfId="0" applyFont="1" applyFill="1" applyBorder="1" applyAlignment="1">
      <alignment horizontal="center" vertical="center"/>
    </xf>
    <xf numFmtId="164" fontId="6" fillId="15" borderId="114" xfId="0" applyNumberFormat="1" applyFont="1" applyFill="1" applyBorder="1" applyAlignment="1">
      <alignment horizontal="center" vertical="center"/>
    </xf>
    <xf numFmtId="164" fontId="6" fillId="15" borderId="0" xfId="0" applyNumberFormat="1" applyFont="1" applyFill="1" applyAlignment="1">
      <alignment horizontal="center" vertical="center"/>
    </xf>
    <xf numFmtId="164" fontId="6" fillId="15" borderId="40" xfId="0" applyNumberFormat="1" applyFont="1" applyFill="1" applyBorder="1" applyAlignment="1">
      <alignment horizontal="center" vertical="center"/>
    </xf>
    <xf numFmtId="3" fontId="6" fillId="15" borderId="5" xfId="0" applyNumberFormat="1" applyFont="1" applyFill="1" applyBorder="1" applyAlignment="1">
      <alignment horizontal="center" vertical="center"/>
    </xf>
    <xf numFmtId="3" fontId="6" fillId="15" borderId="40" xfId="0" applyNumberFormat="1" applyFont="1" applyFill="1" applyBorder="1" applyAlignment="1">
      <alignment horizontal="center" vertical="center"/>
    </xf>
    <xf numFmtId="0" fontId="6" fillId="15" borderId="135" xfId="0" applyFont="1" applyFill="1" applyBorder="1" applyAlignment="1">
      <alignment horizontal="center" vertical="center"/>
    </xf>
    <xf numFmtId="0" fontId="6" fillId="15" borderId="0" xfId="0" applyFont="1" applyFill="1" applyAlignment="1">
      <alignment horizontal="center" vertical="center"/>
    </xf>
    <xf numFmtId="0" fontId="4" fillId="3" borderId="0" xfId="0" applyFont="1" applyFill="1" applyAlignment="1">
      <alignment horizontal="center" vertical="center"/>
    </xf>
    <xf numFmtId="0" fontId="25" fillId="3" borderId="134" xfId="0" applyFont="1" applyFill="1" applyBorder="1" applyAlignment="1">
      <alignment vertical="center"/>
    </xf>
    <xf numFmtId="0" fontId="25" fillId="3" borderId="0" xfId="0" applyFont="1" applyFill="1" applyAlignment="1">
      <alignment vertical="center"/>
    </xf>
    <xf numFmtId="0" fontId="25" fillId="3" borderId="133" xfId="0" applyFont="1" applyFill="1" applyBorder="1" applyAlignment="1">
      <alignment vertical="center"/>
    </xf>
    <xf numFmtId="0" fontId="15" fillId="15" borderId="118" xfId="0" applyFont="1" applyFill="1" applyBorder="1" applyAlignment="1">
      <alignment horizontal="left" vertical="top" indent="1"/>
    </xf>
    <xf numFmtId="0" fontId="15" fillId="15" borderId="119" xfId="0" applyFont="1" applyFill="1" applyBorder="1" applyAlignment="1">
      <alignment horizontal="left" vertical="top" indent="1"/>
    </xf>
    <xf numFmtId="0" fontId="15" fillId="15" borderId="120" xfId="0" applyFont="1" applyFill="1" applyBorder="1" applyAlignment="1">
      <alignment horizontal="left" vertical="top" indent="1"/>
    </xf>
    <xf numFmtId="0" fontId="15" fillId="15" borderId="121" xfId="0" applyFont="1" applyFill="1" applyBorder="1" applyAlignment="1">
      <alignment horizontal="left" vertical="top" indent="1"/>
    </xf>
    <xf numFmtId="0" fontId="15" fillId="15" borderId="0" xfId="0" applyFont="1" applyFill="1" applyAlignment="1">
      <alignment horizontal="left" vertical="top" indent="1"/>
    </xf>
    <xf numFmtId="0" fontId="15" fillId="15" borderId="122" xfId="0" applyFont="1" applyFill="1" applyBorder="1" applyAlignment="1">
      <alignment horizontal="left" vertical="top" indent="1"/>
    </xf>
    <xf numFmtId="0" fontId="15" fillId="15" borderId="123" xfId="0" applyFont="1" applyFill="1" applyBorder="1" applyAlignment="1">
      <alignment horizontal="left" vertical="top" indent="1"/>
    </xf>
    <xf numFmtId="0" fontId="15" fillId="15" borderId="124" xfId="0" applyFont="1" applyFill="1" applyBorder="1" applyAlignment="1">
      <alignment horizontal="left" vertical="top" indent="1"/>
    </xf>
    <xf numFmtId="0" fontId="15" fillId="15" borderId="125" xfId="0" applyFont="1" applyFill="1" applyBorder="1" applyAlignment="1">
      <alignment horizontal="left" vertical="top" indent="1"/>
    </xf>
    <xf numFmtId="0" fontId="24" fillId="3" borderId="0" xfId="0" applyFont="1" applyFill="1" applyAlignment="1">
      <alignment horizontal="left" vertical="center" wrapText="1"/>
    </xf>
    <xf numFmtId="0" fontId="39" fillId="26" borderId="0" xfId="1" applyFont="1" applyFill="1" applyAlignment="1">
      <alignment horizontal="center" vertical="center" wrapText="1"/>
    </xf>
    <xf numFmtId="0" fontId="45" fillId="2" borderId="82" xfId="1" applyFont="1" applyFill="1" applyBorder="1" applyAlignment="1">
      <alignment horizontal="center" vertical="center" wrapText="1"/>
    </xf>
    <xf numFmtId="0" fontId="45" fillId="2" borderId="113" xfId="1" applyFont="1" applyFill="1" applyBorder="1" applyAlignment="1">
      <alignment horizontal="center" vertical="center" wrapText="1"/>
    </xf>
    <xf numFmtId="0" fontId="45" fillId="2" borderId="83" xfId="1" applyFont="1" applyFill="1" applyBorder="1" applyAlignment="1">
      <alignment horizontal="center" vertical="center" wrapText="1"/>
    </xf>
    <xf numFmtId="0" fontId="45" fillId="2" borderId="84" xfId="1" applyFont="1" applyFill="1" applyBorder="1" applyAlignment="1">
      <alignment horizontal="center" vertical="center" wrapText="1"/>
    </xf>
    <xf numFmtId="0" fontId="45" fillId="2" borderId="69" xfId="1" applyFont="1" applyFill="1" applyBorder="1" applyAlignment="1">
      <alignment horizontal="center" vertical="center" wrapText="1"/>
    </xf>
    <xf numFmtId="0" fontId="45" fillId="2" borderId="85" xfId="1" applyFont="1" applyFill="1" applyBorder="1" applyAlignment="1">
      <alignment horizontal="center" vertical="center" wrapText="1"/>
    </xf>
    <xf numFmtId="0" fontId="6" fillId="3" borderId="0" xfId="0" applyFont="1" applyFill="1" applyAlignment="1">
      <alignment horizontal="left" vertical="top" wrapText="1"/>
    </xf>
    <xf numFmtId="0" fontId="4" fillId="3" borderId="21" xfId="0" applyFont="1" applyFill="1" applyBorder="1" applyAlignment="1">
      <alignment horizontal="left" vertical="top" wrapText="1" indent="1"/>
    </xf>
    <xf numFmtId="0" fontId="4" fillId="3" borderId="20" xfId="0" applyFont="1" applyFill="1" applyBorder="1" applyAlignment="1">
      <alignment horizontal="left" vertical="top" wrapText="1" indent="1"/>
    </xf>
    <xf numFmtId="0" fontId="4" fillId="3" borderId="22" xfId="0" applyFont="1" applyFill="1" applyBorder="1" applyAlignment="1">
      <alignment horizontal="left" vertical="top" wrapText="1" indent="1"/>
    </xf>
    <xf numFmtId="0" fontId="4" fillId="3" borderId="23" xfId="0" applyFont="1" applyFill="1" applyBorder="1" applyAlignment="1">
      <alignment horizontal="left" vertical="top" wrapText="1" indent="1"/>
    </xf>
    <xf numFmtId="0" fontId="4" fillId="3" borderId="24" xfId="0" applyFont="1" applyFill="1" applyBorder="1" applyAlignment="1">
      <alignment horizontal="left" vertical="top" wrapText="1" indent="1"/>
    </xf>
    <xf numFmtId="0" fontId="4" fillId="3" borderId="25" xfId="0" applyFont="1" applyFill="1" applyBorder="1" applyAlignment="1">
      <alignment horizontal="left" vertical="top" wrapText="1" indent="1"/>
    </xf>
    <xf numFmtId="0" fontId="4" fillId="3" borderId="19" xfId="0" applyFont="1" applyFill="1" applyBorder="1" applyAlignment="1">
      <alignment horizontal="left" vertical="top" wrapText="1" indent="1"/>
    </xf>
    <xf numFmtId="0" fontId="4" fillId="3" borderId="26" xfId="0" applyFont="1" applyFill="1" applyBorder="1" applyAlignment="1">
      <alignment horizontal="left" vertical="top" wrapText="1" indent="1"/>
    </xf>
    <xf numFmtId="0" fontId="4" fillId="2" borderId="0" xfId="0" applyFont="1" applyFill="1" applyAlignment="1">
      <alignment wrapText="1"/>
    </xf>
    <xf numFmtId="0" fontId="12" fillId="16" borderId="19" xfId="0" applyFont="1" applyFill="1" applyBorder="1" applyAlignment="1">
      <alignment wrapText="1"/>
    </xf>
    <xf numFmtId="0" fontId="12" fillId="2" borderId="19" xfId="0" applyFont="1" applyFill="1" applyBorder="1" applyAlignment="1">
      <alignment vertical="center" wrapText="1"/>
    </xf>
    <xf numFmtId="0" fontId="39" fillId="34" borderId="0" xfId="1" applyFont="1" applyFill="1" applyAlignment="1">
      <alignment horizontal="center" vertical="center" wrapText="1"/>
    </xf>
    <xf numFmtId="0" fontId="59" fillId="2" borderId="0" xfId="0" applyFont="1" applyFill="1" applyAlignment="1">
      <alignment horizontal="left" vertical="top" wrapText="1"/>
    </xf>
    <xf numFmtId="0" fontId="59" fillId="2" borderId="0" xfId="0" applyFont="1" applyFill="1" applyAlignment="1">
      <alignment vertical="top" wrapText="1"/>
    </xf>
    <xf numFmtId="0" fontId="25" fillId="2" borderId="0" xfId="0" applyFont="1" applyFill="1" applyAlignment="1">
      <alignment vertical="top" wrapText="1"/>
    </xf>
    <xf numFmtId="0" fontId="4" fillId="2" borderId="0" xfId="0" applyFont="1" applyFill="1" applyAlignment="1">
      <alignment horizontal="left" vertical="top" wrapText="1"/>
    </xf>
    <xf numFmtId="0" fontId="60" fillId="2" borderId="0" xfId="0" applyFont="1" applyFill="1" applyAlignment="1">
      <alignment wrapText="1"/>
    </xf>
    <xf numFmtId="0" fontId="14" fillId="2" borderId="0" xfId="0" applyFont="1" applyFill="1" applyAlignment="1">
      <alignment horizontal="left" vertical="top"/>
    </xf>
    <xf numFmtId="0" fontId="21" fillId="23" borderId="0" xfId="0" applyFont="1" applyFill="1" applyAlignment="1"/>
    <xf numFmtId="0" fontId="4" fillId="19" borderId="0" xfId="0" applyFont="1" applyFill="1" applyAlignment="1"/>
    <xf numFmtId="0" fontId="4" fillId="28" borderId="0" xfId="0" applyFont="1" applyFill="1" applyAlignment="1"/>
    <xf numFmtId="0" fontId="49" fillId="2" borderId="0" xfId="0" applyFont="1" applyFill="1" applyAlignment="1"/>
    <xf numFmtId="0" fontId="4" fillId="3" borderId="0" xfId="0" applyFont="1" applyFill="1" applyAlignment="1"/>
    <xf numFmtId="0" fontId="4" fillId="7" borderId="0" xfId="0" applyFont="1" applyFill="1" applyAlignment="1"/>
    <xf numFmtId="0" fontId="4" fillId="14" borderId="0" xfId="0" applyFont="1" applyFill="1" applyAlignment="1"/>
    <xf numFmtId="0" fontId="24" fillId="15" borderId="38" xfId="0" applyFont="1" applyFill="1" applyBorder="1" applyAlignment="1"/>
    <xf numFmtId="0" fontId="24" fillId="15" borderId="39" xfId="0" applyFont="1" applyFill="1" applyBorder="1" applyAlignment="1"/>
    <xf numFmtId="0" fontId="4" fillId="13" borderId="0" xfId="0" applyFont="1" applyFill="1" applyAlignment="1"/>
    <xf numFmtId="0" fontId="24" fillId="15" borderId="53" xfId="0" applyFont="1" applyFill="1" applyBorder="1" applyAlignment="1"/>
    <xf numFmtId="0" fontId="4" fillId="12" borderId="0" xfId="0" applyFont="1" applyFill="1" applyAlignment="1"/>
    <xf numFmtId="0" fontId="4" fillId="10" borderId="0" xfId="0" applyFont="1" applyFill="1" applyAlignment="1"/>
    <xf numFmtId="0" fontId="27" fillId="15" borderId="38" xfId="0" applyFont="1" applyFill="1" applyBorder="1" applyAlignment="1"/>
    <xf numFmtId="0" fontId="27" fillId="15" borderId="39" xfId="0" applyFont="1" applyFill="1" applyBorder="1" applyAlignment="1"/>
    <xf numFmtId="0" fontId="23" fillId="2" borderId="0" xfId="0" applyFont="1" applyFill="1" applyAlignment="1"/>
    <xf numFmtId="0" fontId="60" fillId="2" borderId="0" xfId="0" applyFont="1" applyFill="1" applyAlignment="1"/>
  </cellXfs>
  <cellStyles count="2">
    <cellStyle name="Hyperlink" xfId="1" builtinId="8"/>
    <cellStyle name="Normal" xfId="0" builtinId="0"/>
  </cellStyles>
  <dxfs count="46">
    <dxf>
      <numFmt numFmtId="0" formatCode="General"/>
    </dxf>
    <dxf>
      <numFmt numFmtId="0" formatCode="General"/>
    </dxf>
    <dxf>
      <numFmt numFmtId="0" formatCode="General"/>
    </dxf>
    <dxf>
      <numFmt numFmtId="0" formatCode="General"/>
    </dxf>
    <dxf>
      <numFmt numFmtId="0" formatCode="General"/>
    </dxf>
    <dxf>
      <numFmt numFmtId="0" formatCode="General"/>
    </dxf>
    <dxf>
      <font>
        <b val="0"/>
        <i/>
        <color theme="2"/>
      </font>
      <fill>
        <patternFill>
          <bgColor theme="2"/>
        </patternFill>
      </fill>
    </dxf>
    <dxf>
      <fill>
        <patternFill>
          <bgColor theme="0"/>
        </patternFill>
      </fill>
    </dxf>
    <dxf>
      <font>
        <b val="0"/>
        <i/>
      </font>
      <fill>
        <patternFill>
          <bgColor theme="8" tint="0.79998168889431442"/>
        </patternFill>
      </fill>
    </dxf>
    <dxf>
      <font>
        <color theme="3"/>
      </font>
      <fill>
        <patternFill>
          <bgColor theme="2"/>
        </patternFill>
      </fill>
    </dxf>
    <dxf>
      <font>
        <strike val="0"/>
        <outline val="0"/>
        <shadow val="0"/>
        <u val="none"/>
        <vertAlign val="baseline"/>
        <color theme="1"/>
        <name val="Calibri"/>
        <family val="2"/>
        <scheme val="none"/>
      </font>
      <numFmt numFmtId="0" formatCode="General"/>
      <fill>
        <patternFill patternType="none">
          <fgColor indexed="64"/>
          <bgColor indexed="65"/>
        </patternFill>
      </fill>
    </dxf>
    <dxf>
      <font>
        <strike val="0"/>
        <outline val="0"/>
        <shadow val="0"/>
        <u val="none"/>
        <vertAlign val="baseline"/>
        <color theme="1"/>
        <name val="Calibri"/>
        <family val="2"/>
        <scheme val="none"/>
      </font>
      <numFmt numFmtId="0" formatCode="General"/>
      <fill>
        <patternFill patternType="none">
          <fgColor indexed="64"/>
          <bgColor indexed="65"/>
        </patternFill>
      </fill>
    </dxf>
    <dxf>
      <font>
        <strike val="0"/>
        <outline val="0"/>
        <shadow val="0"/>
        <u val="none"/>
        <vertAlign val="baseline"/>
        <color theme="1"/>
        <name val="Calibri"/>
        <family val="2"/>
        <scheme val="none"/>
      </font>
    </dxf>
    <dxf>
      <font>
        <strike val="0"/>
        <outline val="0"/>
        <shadow val="0"/>
        <u val="none"/>
        <vertAlign val="baseline"/>
        <color theme="1"/>
        <name val="Calibri"/>
        <family val="2"/>
        <scheme val="none"/>
      </font>
    </dxf>
    <dxf>
      <font>
        <strike val="0"/>
        <outline val="0"/>
        <shadow val="0"/>
        <u val="none"/>
        <vertAlign val="baseline"/>
        <color theme="1"/>
        <name val="Calibri"/>
        <family val="2"/>
        <scheme val="none"/>
      </font>
    </dxf>
    <dxf>
      <font>
        <color rgb="FF006100"/>
      </font>
      <fill>
        <patternFill>
          <bgColor rgb="FFC6EFCE"/>
        </patternFill>
      </fill>
    </dxf>
    <dxf>
      <numFmt numFmtId="0" formatCode="General"/>
    </dxf>
    <dxf>
      <numFmt numFmtId="0" formatCode="General"/>
    </dxf>
    <dxf>
      <numFmt numFmtId="0" formatCode="General"/>
    </dxf>
    <dxf>
      <numFmt numFmtId="0" formatCode="General"/>
    </dxf>
    <dxf>
      <numFmt numFmtId="0" formatCode="General"/>
    </dxf>
    <dxf>
      <fill>
        <patternFill>
          <bgColor theme="5" tint="0.79998168889431442"/>
        </patternFill>
      </fil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font>
        <b val="0"/>
        <i val="0"/>
        <strike val="0"/>
        <condense val="0"/>
        <extend val="0"/>
        <outline val="0"/>
        <shadow val="0"/>
        <u val="none"/>
        <vertAlign val="baseline"/>
        <sz val="11"/>
        <color theme="1"/>
        <name val="Calibri"/>
        <family val="2"/>
        <scheme val="none"/>
      </font>
    </dxf>
    <dxf>
      <font>
        <b val="0"/>
        <i val="0"/>
        <strike val="0"/>
        <condense val="0"/>
        <extend val="0"/>
        <outline val="0"/>
        <shadow val="0"/>
        <u val="none"/>
        <vertAlign val="baseline"/>
        <sz val="11"/>
        <color theme="1"/>
        <name val="Calibri"/>
        <family val="2"/>
        <scheme val="none"/>
      </font>
      <border diagonalUp="0" diagonalDown="0">
        <left/>
        <right/>
        <top/>
        <bottom style="thin">
          <color theme="4" tint="0.39997558519241921"/>
        </bottom>
        <vertical/>
        <horizontal/>
      </border>
    </dxf>
    <dxf>
      <font>
        <b val="0"/>
        <i val="0"/>
        <strike val="0"/>
        <condense val="0"/>
        <extend val="0"/>
        <outline val="0"/>
        <shadow val="0"/>
        <u val="none"/>
        <vertAlign val="baseline"/>
        <sz val="11"/>
        <color theme="1"/>
        <name val="Calibri"/>
        <family val="2"/>
        <scheme val="none"/>
      </font>
    </dxf>
    <dxf>
      <font>
        <b val="0"/>
        <i val="0"/>
        <strike val="0"/>
        <condense val="0"/>
        <extend val="0"/>
        <outline val="0"/>
        <shadow val="0"/>
        <u val="none"/>
        <vertAlign val="baseline"/>
        <sz val="11"/>
        <color theme="1"/>
        <name val="Calibri"/>
        <family val="2"/>
        <scheme val="none"/>
      </font>
      <border diagonalUp="0" diagonalDown="0" outline="0">
        <left/>
        <right/>
        <top style="thin">
          <color theme="4" tint="0.39997558519241921"/>
        </top>
        <bottom style="thin">
          <color theme="4" tint="0.39997558519241921"/>
        </bottom>
      </border>
    </dxf>
    <dxf>
      <font>
        <b val="0"/>
        <i val="0"/>
        <strike val="0"/>
        <condense val="0"/>
        <extend val="0"/>
        <outline val="0"/>
        <shadow val="0"/>
        <u val="none"/>
        <vertAlign val="baseline"/>
        <sz val="11"/>
        <color theme="1"/>
        <name val="Calibri"/>
        <family val="2"/>
        <scheme val="none"/>
      </font>
      <border diagonalUp="0" diagonalDown="0">
        <left/>
        <right/>
        <top style="thin">
          <color theme="4" tint="0.39997558519241921"/>
        </top>
        <bottom style="thin">
          <color theme="4" tint="0.39997558519241921"/>
        </bottom>
        <vertical/>
        <horizontal/>
      </border>
    </dxf>
    <dxf>
      <border outline="0">
        <top style="thin">
          <color theme="4" tint="0.39997558519241921"/>
        </top>
      </border>
    </dxf>
    <dxf>
      <border outline="0">
        <bottom style="thin">
          <color theme="4" tint="0.39997558519241921"/>
        </bottom>
      </border>
    </dxf>
    <dxf>
      <border outline="0">
        <left style="thin">
          <color theme="4" tint="0.39997558519241921"/>
        </left>
        <top style="thin">
          <color theme="4" tint="0.39997558519241921"/>
        </top>
        <bottom style="thin">
          <color theme="4" tint="0.39997558519241921"/>
        </bottom>
      </border>
    </dxf>
    <dxf>
      <font>
        <b val="0"/>
        <i val="0"/>
        <strike val="0"/>
        <condense val="0"/>
        <extend val="0"/>
        <outline val="0"/>
        <shadow val="0"/>
        <u val="none"/>
        <vertAlign val="baseline"/>
        <sz val="11"/>
        <color theme="1"/>
        <name val="Calibri"/>
        <family val="2"/>
        <scheme val="none"/>
      </font>
    </dxf>
    <dxf>
      <font>
        <b/>
        <i val="0"/>
        <strike val="0"/>
        <condense val="0"/>
        <extend val="0"/>
        <outline val="0"/>
        <shadow val="0"/>
        <u val="none"/>
        <vertAlign val="baseline"/>
        <sz val="11"/>
        <color theme="0"/>
        <name val="Calibri"/>
        <family val="2"/>
        <scheme val="none"/>
      </font>
      <fill>
        <patternFill patternType="solid">
          <fgColor theme="4"/>
          <bgColor theme="4"/>
        </patternFill>
      </fill>
    </dxf>
  </dxfs>
  <tableStyles count="1" defaultTableStyle="TableStyleMedium2" defaultPivotStyle="PivotStyleLight16">
    <tableStyle name="Invisible" pivot="0" table="0" count="0" xr9:uid="{36BF7A53-738B-4820-8EAC-330009B04415}"/>
  </tableStyles>
  <colors>
    <mruColors>
      <color rgb="FF422C0E"/>
      <color rgb="FF003E6A"/>
      <color rgb="FF6A4B16"/>
      <color rgb="FF9AD9D1"/>
      <color rgb="FF16243A"/>
      <color rgb="FFD8FEEA"/>
      <color rgb="FFE4ECF8"/>
      <color rgb="FFD7EEFF"/>
      <color rgb="FFFFF8EC"/>
      <color rgb="FF1D2F4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theme" Target="theme/theme1.xml"/><Relationship Id="rId39" Type="http://schemas.openxmlformats.org/officeDocument/2006/relationships/customXml" Target="../customXml/item2.xml"/><Relationship Id="rId21" Type="http://schemas.openxmlformats.org/officeDocument/2006/relationships/worksheet" Target="worksheets/sheet21.xml"/><Relationship Id="rId34" Type="http://schemas.microsoft.com/office/2017/06/relationships/rdSupportingPropertyBagStructure" Target="richData/rdsupportingpropertybagstructure.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sharedStrings" Target="sharedStrings.xml"/><Relationship Id="rId41" Type="http://schemas.openxmlformats.org/officeDocument/2006/relationships/customXml" Target="../customXml/item4.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microsoft.com/office/2017/06/relationships/rdRichValueStructure" Target="richData/rdrichvaluestructure.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styles" Target="styles.xml"/><Relationship Id="rId36" Type="http://schemas.microsoft.com/office/2017/06/relationships/rdRichValueTypes" Target="richData/rdRichValueTyp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microsoft.com/office/2017/06/relationships/rdRichValue" Target="richData/rdrichvalue.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connections" Target="connections.xml"/><Relationship Id="rId30" Type="http://schemas.openxmlformats.org/officeDocument/2006/relationships/sheetMetadata" Target="metadata.xml"/><Relationship Id="rId35" Type="http://schemas.microsoft.com/office/2017/06/relationships/rdSupportingPropertyBag" Target="richData/rdsupportingpropertybag.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microsoft.com/office/2017/06/relationships/richStyles" Target="richData/richStyles.xml"/><Relationship Id="rId38" Type="http://schemas.openxmlformats.org/officeDocument/2006/relationships/customXml" Target="../customXml/item1.xml"/></Relationships>
</file>

<file path=xl/charts/_rels/chart1.xml.rels><?xml version="1.0" encoding="UTF-8" standalone="yes"?>
<Relationships xmlns="http://schemas.openxmlformats.org/package/2006/relationships"><Relationship Id="rId3" Type="http://schemas.openxmlformats.org/officeDocument/2006/relationships/image" Target="../media/image3.png"/><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3" Type="http://schemas.openxmlformats.org/officeDocument/2006/relationships/image" Target="../media/image4.png"/><Relationship Id="rId2" Type="http://schemas.microsoft.com/office/2011/relationships/chartColorStyle" Target="colors2.xml"/><Relationship Id="rId1" Type="http://schemas.microsoft.com/office/2011/relationships/chartStyle" Target="style2.xml"/><Relationship Id="rId5" Type="http://schemas.openxmlformats.org/officeDocument/2006/relationships/image" Target="../media/image6.png"/><Relationship Id="rId4" Type="http://schemas.openxmlformats.org/officeDocument/2006/relationships/image" Target="../media/image5.png"/></Relationships>
</file>

<file path=xl/charts/_rels/chart3.xml.rels><?xml version="1.0" encoding="UTF-8" standalone="yes"?>
<Relationships xmlns="http://schemas.openxmlformats.org/package/2006/relationships"><Relationship Id="rId3" Type="http://schemas.openxmlformats.org/officeDocument/2006/relationships/image" Target="../media/image7.png"/><Relationship Id="rId2" Type="http://schemas.microsoft.com/office/2011/relationships/chartColorStyle" Target="colors3.xml"/><Relationship Id="rId1" Type="http://schemas.microsoft.com/office/2011/relationships/chartStyle" Target="style3.xml"/><Relationship Id="rId6" Type="http://schemas.openxmlformats.org/officeDocument/2006/relationships/image" Target="../media/image10.png"/><Relationship Id="rId5" Type="http://schemas.openxmlformats.org/officeDocument/2006/relationships/image" Target="../media/image9.png"/><Relationship Id="rId4" Type="http://schemas.openxmlformats.org/officeDocument/2006/relationships/image" Target="../media/image8.png"/></Relationships>
</file>

<file path=xl/charts/_rels/chart4.xml.rels><?xml version="1.0" encoding="UTF-8" standalone="yes"?>
<Relationships xmlns="http://schemas.openxmlformats.org/package/2006/relationships"><Relationship Id="rId3" Type="http://schemas.openxmlformats.org/officeDocument/2006/relationships/image" Target="../media/image11.png"/><Relationship Id="rId2" Type="http://schemas.microsoft.com/office/2011/relationships/chartColorStyle" Target="colors4.xml"/><Relationship Id="rId1" Type="http://schemas.microsoft.com/office/2011/relationships/chartStyle" Target="style4.xml"/><Relationship Id="rId5" Type="http://schemas.openxmlformats.org/officeDocument/2006/relationships/image" Target="../media/image13.png"/><Relationship Id="rId4" Type="http://schemas.openxmlformats.org/officeDocument/2006/relationships/image" Target="../media/image12.png"/></Relationships>
</file>

<file path=xl/charts/_rels/chart5.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7.png"/></Relationships>
</file>

<file path=xl/charts/_rels/chart6.xml.rels><?xml version="1.0" encoding="UTF-8" standalone="yes"?>
<Relationships xmlns="http://schemas.openxmlformats.org/package/2006/relationships"><Relationship Id="rId3" Type="http://schemas.openxmlformats.org/officeDocument/2006/relationships/image" Target="../media/image20.png"/><Relationship Id="rId2" Type="http://schemas.openxmlformats.org/officeDocument/2006/relationships/image" Target="../media/image19.png"/><Relationship Id="rId1" Type="http://schemas.openxmlformats.org/officeDocument/2006/relationships/image" Target="../media/image18.png"/><Relationship Id="rId5" Type="http://schemas.openxmlformats.org/officeDocument/2006/relationships/image" Target="../media/image22.png"/><Relationship Id="rId4" Type="http://schemas.openxmlformats.org/officeDocument/2006/relationships/image" Target="../media/image21.png"/></Relationships>
</file>

<file path=xl/charts/_rels/chart7.xml.rels><?xml version="1.0" encoding="UTF-8" standalone="yes"?>
<Relationships xmlns="http://schemas.openxmlformats.org/package/2006/relationships"><Relationship Id="rId3" Type="http://schemas.openxmlformats.org/officeDocument/2006/relationships/image" Target="../media/image3.png"/><Relationship Id="rId2" Type="http://schemas.microsoft.com/office/2011/relationships/chartColorStyle" Target="colors5.xml"/><Relationship Id="rId1" Type="http://schemas.microsoft.com/office/2011/relationships/chartStyle" Target="style5.xml"/></Relationships>
</file>

<file path=xl/charts/_rels/chart8.xml.rels><?xml version="1.0" encoding="UTF-8" standalone="yes"?>
<Relationships xmlns="http://schemas.openxmlformats.org/package/2006/relationships"><Relationship Id="rId8" Type="http://schemas.openxmlformats.org/officeDocument/2006/relationships/image" Target="../media/image37.png"/><Relationship Id="rId13" Type="http://schemas.openxmlformats.org/officeDocument/2006/relationships/image" Target="../media/image42.png"/><Relationship Id="rId3" Type="http://schemas.openxmlformats.org/officeDocument/2006/relationships/image" Target="../media/image32.png"/><Relationship Id="rId7" Type="http://schemas.openxmlformats.org/officeDocument/2006/relationships/image" Target="../media/image36.png"/><Relationship Id="rId12" Type="http://schemas.openxmlformats.org/officeDocument/2006/relationships/image" Target="../media/image41.png"/><Relationship Id="rId2" Type="http://schemas.microsoft.com/office/2011/relationships/chartColorStyle" Target="colors6.xml"/><Relationship Id="rId1" Type="http://schemas.microsoft.com/office/2011/relationships/chartStyle" Target="style6.xml"/><Relationship Id="rId6" Type="http://schemas.openxmlformats.org/officeDocument/2006/relationships/image" Target="../media/image35.png"/><Relationship Id="rId11" Type="http://schemas.openxmlformats.org/officeDocument/2006/relationships/image" Target="../media/image40.png"/><Relationship Id="rId5" Type="http://schemas.openxmlformats.org/officeDocument/2006/relationships/image" Target="../media/image34.png"/><Relationship Id="rId10" Type="http://schemas.openxmlformats.org/officeDocument/2006/relationships/image" Target="../media/image39.png"/><Relationship Id="rId4" Type="http://schemas.openxmlformats.org/officeDocument/2006/relationships/image" Target="../media/image33.png"/><Relationship Id="rId9" Type="http://schemas.openxmlformats.org/officeDocument/2006/relationships/image" Target="../media/image38.png"/></Relationships>
</file>

<file path=xl/charts/_rels/chart9.xml.rels><?xml version="1.0" encoding="UTF-8" standalone="yes"?>
<Relationships xmlns="http://schemas.openxmlformats.org/package/2006/relationships"><Relationship Id="rId8" Type="http://schemas.openxmlformats.org/officeDocument/2006/relationships/image" Target="../media/image48.png"/><Relationship Id="rId13" Type="http://schemas.openxmlformats.org/officeDocument/2006/relationships/image" Target="../media/image53.png"/><Relationship Id="rId3" Type="http://schemas.openxmlformats.org/officeDocument/2006/relationships/image" Target="../media/image43.png"/><Relationship Id="rId7" Type="http://schemas.openxmlformats.org/officeDocument/2006/relationships/image" Target="../media/image47.png"/><Relationship Id="rId12" Type="http://schemas.openxmlformats.org/officeDocument/2006/relationships/image" Target="../media/image52.png"/><Relationship Id="rId2" Type="http://schemas.microsoft.com/office/2011/relationships/chartColorStyle" Target="colors7.xml"/><Relationship Id="rId1" Type="http://schemas.microsoft.com/office/2011/relationships/chartStyle" Target="style7.xml"/><Relationship Id="rId6" Type="http://schemas.openxmlformats.org/officeDocument/2006/relationships/image" Target="../media/image46.png"/><Relationship Id="rId11" Type="http://schemas.openxmlformats.org/officeDocument/2006/relationships/image" Target="../media/image51.png"/><Relationship Id="rId5" Type="http://schemas.openxmlformats.org/officeDocument/2006/relationships/image" Target="../media/image45.png"/><Relationship Id="rId10" Type="http://schemas.openxmlformats.org/officeDocument/2006/relationships/image" Target="../media/image50.png"/><Relationship Id="rId4" Type="http://schemas.openxmlformats.org/officeDocument/2006/relationships/image" Target="../media/image44.png"/><Relationship Id="rId9" Type="http://schemas.openxmlformats.org/officeDocument/2006/relationships/image" Target="../media/image49.png"/></Relationships>
</file>

<file path=xl/charts/_rels/chart10.xml.rels><?xml version="1.0" encoding="UTF-8" standalone="yes"?>
<Relationships xmlns="http://schemas.openxmlformats.org/package/2006/relationships"><Relationship Id="rId3" Type="http://schemas.openxmlformats.org/officeDocument/2006/relationships/image" Target="../media/image3.png"/><Relationship Id="rId2" Type="http://schemas.microsoft.com/office/2011/relationships/chartColorStyle" Target="colors8.xml"/><Relationship Id="rId1" Type="http://schemas.microsoft.com/office/2011/relationships/chartStyle" Target="style8.xml"/></Relationships>
</file>

<file path=xl/charts/_rels/chart11.xml.rels><?xml version="1.0" encoding="UTF-8" standalone="yes"?>
<Relationships xmlns="http://schemas.openxmlformats.org/package/2006/relationships"><Relationship Id="rId3" Type="http://schemas.openxmlformats.org/officeDocument/2006/relationships/image" Target="../media/image64.png"/><Relationship Id="rId7" Type="http://schemas.openxmlformats.org/officeDocument/2006/relationships/image" Target="../media/image68.png"/><Relationship Id="rId2" Type="http://schemas.microsoft.com/office/2011/relationships/chartColorStyle" Target="colors9.xml"/><Relationship Id="rId1" Type="http://schemas.microsoft.com/office/2011/relationships/chartStyle" Target="style9.xml"/><Relationship Id="rId6" Type="http://schemas.openxmlformats.org/officeDocument/2006/relationships/image" Target="../media/image67.png"/><Relationship Id="rId5" Type="http://schemas.openxmlformats.org/officeDocument/2006/relationships/image" Target="../media/image66.png"/><Relationship Id="rId4" Type="http://schemas.openxmlformats.org/officeDocument/2006/relationships/image" Target="../media/image65.png"/></Relationships>
</file>

<file path=xl/charts/_rels/chart12.xml.rels><?xml version="1.0" encoding="UTF-8" standalone="yes"?>
<Relationships xmlns="http://schemas.openxmlformats.org/package/2006/relationships"><Relationship Id="rId3" Type="http://schemas.openxmlformats.org/officeDocument/2006/relationships/image" Target="../media/image69.png"/><Relationship Id="rId7" Type="http://schemas.openxmlformats.org/officeDocument/2006/relationships/image" Target="../media/image73.png"/><Relationship Id="rId2" Type="http://schemas.microsoft.com/office/2011/relationships/chartColorStyle" Target="colors10.xml"/><Relationship Id="rId1" Type="http://schemas.microsoft.com/office/2011/relationships/chartStyle" Target="style10.xml"/><Relationship Id="rId6" Type="http://schemas.openxmlformats.org/officeDocument/2006/relationships/image" Target="../media/image72.png"/><Relationship Id="rId5" Type="http://schemas.openxmlformats.org/officeDocument/2006/relationships/image" Target="../media/image71.png"/><Relationship Id="rId4" Type="http://schemas.openxmlformats.org/officeDocument/2006/relationships/image" Target="../media/image70.png"/></Relationships>
</file>

<file path=xl/charts/_rels/chart13.xml.rels><?xml version="1.0" encoding="UTF-8" standalone="yes"?>
<Relationships xmlns="http://schemas.openxmlformats.org/package/2006/relationships"><Relationship Id="rId3" Type="http://schemas.openxmlformats.org/officeDocument/2006/relationships/image" Target="../media/image74.png"/><Relationship Id="rId7" Type="http://schemas.openxmlformats.org/officeDocument/2006/relationships/image" Target="../media/image78.png"/><Relationship Id="rId2" Type="http://schemas.microsoft.com/office/2011/relationships/chartColorStyle" Target="colors11.xml"/><Relationship Id="rId1" Type="http://schemas.microsoft.com/office/2011/relationships/chartStyle" Target="style11.xml"/><Relationship Id="rId6" Type="http://schemas.openxmlformats.org/officeDocument/2006/relationships/image" Target="../media/image77.png"/><Relationship Id="rId5" Type="http://schemas.openxmlformats.org/officeDocument/2006/relationships/image" Target="../media/image76.png"/><Relationship Id="rId4" Type="http://schemas.openxmlformats.org/officeDocument/2006/relationships/image" Target="../media/image75.png"/></Relationships>
</file>

<file path=xl/charts/_rels/chart14.xml.rels><?xml version="1.0" encoding="UTF-8" standalone="yes"?>
<Relationships xmlns="http://schemas.openxmlformats.org/package/2006/relationships"><Relationship Id="rId3" Type="http://schemas.openxmlformats.org/officeDocument/2006/relationships/image" Target="../media/image80.png"/><Relationship Id="rId2" Type="http://schemas.microsoft.com/office/2011/relationships/chartColorStyle" Target="colors12.xml"/><Relationship Id="rId1" Type="http://schemas.microsoft.com/office/2011/relationships/chartStyle" Target="style12.xml"/></Relationships>
</file>

<file path=xl/charts/_rels/chart15.xml.rels><?xml version="1.0" encoding="UTF-8" standalone="yes"?>
<Relationships xmlns="http://schemas.openxmlformats.org/package/2006/relationships"><Relationship Id="rId3" Type="http://schemas.openxmlformats.org/officeDocument/2006/relationships/image" Target="../media/image3.png"/><Relationship Id="rId2" Type="http://schemas.microsoft.com/office/2011/relationships/chartColorStyle" Target="colors13.xml"/><Relationship Id="rId1" Type="http://schemas.microsoft.com/office/2011/relationships/chartStyle" Target="style13.xml"/></Relationships>
</file>

<file path=xl/charts/_rels/chart16.xml.rels><?xml version="1.0" encoding="UTF-8" standalone="yes"?>
<Relationships xmlns="http://schemas.openxmlformats.org/package/2006/relationships"><Relationship Id="rId3" Type="http://schemas.openxmlformats.org/officeDocument/2006/relationships/image" Target="../media/image3.png"/><Relationship Id="rId2" Type="http://schemas.microsoft.com/office/2011/relationships/chartColorStyle" Target="colors14.xml"/><Relationship Id="rId1" Type="http://schemas.microsoft.com/office/2011/relationships/chartStyle" Target="style14.xml"/><Relationship Id="rId4" Type="http://schemas.openxmlformats.org/officeDocument/2006/relationships/image" Target="../media/image82.png"/></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1.8968115096724021E-3"/>
          <c:y val="8.9797803052396249E-4"/>
          <c:w val="0.99810318849032764"/>
          <c:h val="0.99907245390622468"/>
        </c:manualLayout>
      </c:layout>
      <c:pieChart>
        <c:varyColors val="1"/>
        <c:ser>
          <c:idx val="0"/>
          <c:order val="0"/>
          <c:spPr>
            <a:solidFill>
              <a:schemeClr val="bg2">
                <a:alpha val="70000"/>
              </a:schemeClr>
            </a:solidFill>
            <a:ln w="6350"/>
          </c:spPr>
          <c:dPt>
            <c:idx val="0"/>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01-C012-4FFD-9F4A-F182A206D127}"/>
              </c:ext>
            </c:extLst>
          </c:dPt>
          <c:dPt>
            <c:idx val="1"/>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03-C012-4FFD-9F4A-F182A206D127}"/>
              </c:ext>
            </c:extLst>
          </c:dPt>
          <c:dPt>
            <c:idx val="2"/>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05-C012-4FFD-9F4A-F182A206D127}"/>
              </c:ext>
            </c:extLst>
          </c:dPt>
          <c:dPt>
            <c:idx val="3"/>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07-C012-4FFD-9F4A-F182A206D127}"/>
              </c:ext>
            </c:extLst>
          </c:dPt>
          <c:dPt>
            <c:idx val="4"/>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09-C012-4FFD-9F4A-F182A206D127}"/>
              </c:ext>
            </c:extLst>
          </c:dPt>
          <c:dPt>
            <c:idx val="5"/>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0B-C012-4FFD-9F4A-F182A206D127}"/>
              </c:ext>
            </c:extLst>
          </c:dPt>
          <c:dPt>
            <c:idx val="6"/>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0D-C012-4FFD-9F4A-F182A206D127}"/>
              </c:ext>
            </c:extLst>
          </c:dPt>
          <c:dPt>
            <c:idx val="7"/>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0F-C012-4FFD-9F4A-F182A206D127}"/>
              </c:ext>
            </c:extLst>
          </c:dPt>
          <c:dPt>
            <c:idx val="8"/>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11-C012-4FFD-9F4A-F182A206D127}"/>
              </c:ext>
            </c:extLst>
          </c:dPt>
          <c:dPt>
            <c:idx val="9"/>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13-C012-4FFD-9F4A-F182A206D127}"/>
              </c:ext>
            </c:extLst>
          </c:dPt>
          <c:dPt>
            <c:idx val="10"/>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15-C012-4FFD-9F4A-F182A206D127}"/>
              </c:ext>
            </c:extLst>
          </c:dPt>
          <c:dPt>
            <c:idx val="11"/>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17-C012-4FFD-9F4A-F182A206D127}"/>
              </c:ext>
            </c:extLst>
          </c:dPt>
          <c:dPt>
            <c:idx val="12"/>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19-C012-4FFD-9F4A-F182A206D127}"/>
              </c:ext>
            </c:extLst>
          </c:dPt>
          <c:dPt>
            <c:idx val="13"/>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1B-C012-4FFD-9F4A-F182A206D127}"/>
              </c:ext>
            </c:extLst>
          </c:dPt>
          <c:dPt>
            <c:idx val="14"/>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1D-C012-4FFD-9F4A-F182A206D127}"/>
              </c:ext>
            </c:extLst>
          </c:dPt>
          <c:dPt>
            <c:idx val="15"/>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1F-C012-4FFD-9F4A-F182A206D127}"/>
              </c:ext>
            </c:extLst>
          </c:dPt>
          <c:dPt>
            <c:idx val="16"/>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21-C012-4FFD-9F4A-F182A206D127}"/>
              </c:ext>
            </c:extLst>
          </c:dPt>
          <c:dPt>
            <c:idx val="17"/>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23-C012-4FFD-9F4A-F182A206D127}"/>
              </c:ext>
            </c:extLst>
          </c:dPt>
          <c:dPt>
            <c:idx val="18"/>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25-C012-4FFD-9F4A-F182A206D127}"/>
              </c:ext>
            </c:extLst>
          </c:dPt>
          <c:dPt>
            <c:idx val="19"/>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27-C012-4FFD-9F4A-F182A206D127}"/>
              </c:ext>
            </c:extLst>
          </c:dPt>
          <c:dPt>
            <c:idx val="20"/>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29-C012-4FFD-9F4A-F182A206D127}"/>
              </c:ext>
            </c:extLst>
          </c:dPt>
          <c:dPt>
            <c:idx val="21"/>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2B-C012-4FFD-9F4A-F182A206D127}"/>
              </c:ext>
            </c:extLst>
          </c:dPt>
          <c:dPt>
            <c:idx val="22"/>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2D-C012-4FFD-9F4A-F182A206D127}"/>
              </c:ext>
            </c:extLst>
          </c:dPt>
          <c:dPt>
            <c:idx val="23"/>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2F-C012-4FFD-9F4A-F182A206D127}"/>
              </c:ext>
            </c:extLst>
          </c:dPt>
          <c:dPt>
            <c:idx val="24"/>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31-C012-4FFD-9F4A-F182A206D127}"/>
              </c:ext>
            </c:extLst>
          </c:dPt>
          <c:dPt>
            <c:idx val="25"/>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33-C012-4FFD-9F4A-F182A206D127}"/>
              </c:ext>
            </c:extLst>
          </c:dPt>
          <c:dPt>
            <c:idx val="26"/>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35-C012-4FFD-9F4A-F182A206D127}"/>
              </c:ext>
            </c:extLst>
          </c:dPt>
          <c:dPt>
            <c:idx val="27"/>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37-C012-4FFD-9F4A-F182A206D127}"/>
              </c:ext>
            </c:extLst>
          </c:dPt>
          <c:dPt>
            <c:idx val="28"/>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39-C012-4FFD-9F4A-F182A206D127}"/>
              </c:ext>
            </c:extLst>
          </c:dPt>
          <c:dPt>
            <c:idx val="29"/>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3B-C012-4FFD-9F4A-F182A206D127}"/>
              </c:ext>
            </c:extLst>
          </c:dPt>
          <c:dPt>
            <c:idx val="30"/>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3D-C012-4FFD-9F4A-F182A206D127}"/>
              </c:ext>
            </c:extLst>
          </c:dPt>
          <c:dPt>
            <c:idx val="31"/>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3F-C012-4FFD-9F4A-F182A206D127}"/>
              </c:ext>
            </c:extLst>
          </c:dPt>
          <c:dPt>
            <c:idx val="32"/>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41-C012-4FFD-9F4A-F182A206D127}"/>
              </c:ext>
            </c:extLst>
          </c:dPt>
          <c:dPt>
            <c:idx val="33"/>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43-C012-4FFD-9F4A-F182A206D127}"/>
              </c:ext>
            </c:extLst>
          </c:dPt>
          <c:val>
            <c:numRef>
              <c:f>Backend_Badge!$N$3:$N$36</c:f>
              <c:numCache>
                <c:formatCode>General</c:formatCode>
                <c:ptCount val="34"/>
                <c:pt idx="0">
                  <c:v>0</c:v>
                </c:pt>
                <c:pt idx="1">
                  <c:v>1</c:v>
                </c:pt>
                <c:pt idx="2">
                  <c:v>0</c:v>
                </c:pt>
                <c:pt idx="3">
                  <c:v>1</c:v>
                </c:pt>
                <c:pt idx="4">
                  <c:v>0</c:v>
                </c:pt>
                <c:pt idx="5">
                  <c:v>1</c:v>
                </c:pt>
                <c:pt idx="6">
                  <c:v>0</c:v>
                </c:pt>
                <c:pt idx="7">
                  <c:v>1</c:v>
                </c:pt>
                <c:pt idx="8">
                  <c:v>0</c:v>
                </c:pt>
                <c:pt idx="9">
                  <c:v>1</c:v>
                </c:pt>
                <c:pt idx="10">
                  <c:v>0</c:v>
                </c:pt>
                <c:pt idx="11">
                  <c:v>1</c:v>
                </c:pt>
                <c:pt idx="12">
                  <c:v>0</c:v>
                </c:pt>
                <c:pt idx="13">
                  <c:v>1</c:v>
                </c:pt>
                <c:pt idx="14">
                  <c:v>0</c:v>
                </c:pt>
                <c:pt idx="15">
                  <c:v>1</c:v>
                </c:pt>
                <c:pt idx="16">
                  <c:v>0</c:v>
                </c:pt>
                <c:pt idx="17">
                  <c:v>1</c:v>
                </c:pt>
                <c:pt idx="18">
                  <c:v>0</c:v>
                </c:pt>
                <c:pt idx="19">
                  <c:v>1</c:v>
                </c:pt>
                <c:pt idx="20">
                  <c:v>0</c:v>
                </c:pt>
                <c:pt idx="21">
                  <c:v>1</c:v>
                </c:pt>
                <c:pt idx="22">
                  <c:v>0</c:v>
                </c:pt>
                <c:pt idx="23">
                  <c:v>1</c:v>
                </c:pt>
                <c:pt idx="24">
                  <c:v>0</c:v>
                </c:pt>
                <c:pt idx="25">
                  <c:v>1</c:v>
                </c:pt>
                <c:pt idx="26">
                  <c:v>0</c:v>
                </c:pt>
                <c:pt idx="27">
                  <c:v>1</c:v>
                </c:pt>
                <c:pt idx="28">
                  <c:v>0</c:v>
                </c:pt>
                <c:pt idx="29">
                  <c:v>1</c:v>
                </c:pt>
                <c:pt idx="30">
                  <c:v>0</c:v>
                </c:pt>
                <c:pt idx="31">
                  <c:v>1</c:v>
                </c:pt>
                <c:pt idx="32">
                  <c:v>0</c:v>
                </c:pt>
                <c:pt idx="33">
                  <c:v>1</c:v>
                </c:pt>
              </c:numCache>
            </c:numRef>
          </c:val>
          <c:extLst>
            <c:ext xmlns:c16="http://schemas.microsoft.com/office/drawing/2014/chart" uri="{C3380CC4-5D6E-409C-BE32-E72D297353CC}">
              <c16:uniqueId val="{00000044-C012-4FFD-9F4A-F182A206D127}"/>
            </c:ext>
          </c:extLst>
        </c:ser>
        <c:dLbls>
          <c:showLegendKey val="0"/>
          <c:showVal val="0"/>
          <c:showCatName val="0"/>
          <c:showSerName val="0"/>
          <c:showPercent val="0"/>
          <c:showBubbleSize val="0"/>
          <c:showLeaderLines val="1"/>
        </c:dLbls>
        <c:firstSliceAng val="0"/>
      </c:pieChart>
      <c:spPr>
        <a:blipFill>
          <a:blip xmlns:r="http://schemas.openxmlformats.org/officeDocument/2006/relationships" r:embed="rId3"/>
          <a:stretch>
            <a:fillRect/>
          </a:stretch>
        </a:blip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
          <c:y val="0"/>
          <c:w val="1"/>
          <c:h val="1"/>
        </c:manualLayout>
      </c:layout>
      <c:barChart>
        <c:barDir val="col"/>
        <c:grouping val="percentStacked"/>
        <c:varyColors val="0"/>
        <c:ser>
          <c:idx val="0"/>
          <c:order val="0"/>
          <c:spPr>
            <a:blipFill>
              <a:blip xmlns:r="http://schemas.openxmlformats.org/officeDocument/2006/relationships" r:embed="rId3"/>
              <a:stretch>
                <a:fillRect/>
              </a:stretch>
            </a:blipFill>
            <a:ln>
              <a:noFill/>
            </a:ln>
            <a:effectLst/>
          </c:spPr>
          <c:invertIfNegative val="0"/>
          <c:val>
            <c:numRef>
              <c:f>'Backend P0'!$I$3</c:f>
              <c:numCache>
                <c:formatCode>General</c:formatCode>
                <c:ptCount val="1"/>
                <c:pt idx="0">
                  <c:v>1</c:v>
                </c:pt>
              </c:numCache>
            </c:numRef>
          </c:val>
          <c:extLst>
            <c:ext xmlns:c16="http://schemas.microsoft.com/office/drawing/2014/chart" uri="{C3380CC4-5D6E-409C-BE32-E72D297353CC}">
              <c16:uniqueId val="{00000000-7567-4DDB-9768-08A1895B2BE2}"/>
            </c:ext>
          </c:extLst>
        </c:ser>
        <c:ser>
          <c:idx val="1"/>
          <c:order val="1"/>
          <c:spPr>
            <a:blipFill>
              <a:blip xmlns:r="http://schemas.openxmlformats.org/officeDocument/2006/relationships" r:embed="rId4"/>
              <a:stretch>
                <a:fillRect/>
              </a:stretch>
            </a:blipFill>
            <a:ln>
              <a:noFill/>
            </a:ln>
            <a:effectLst/>
          </c:spPr>
          <c:invertIfNegative val="0"/>
          <c:val>
            <c:numRef>
              <c:f>'Backend P0'!$J$3</c:f>
              <c:numCache>
                <c:formatCode>General</c:formatCode>
                <c:ptCount val="1"/>
                <c:pt idx="0">
                  <c:v>#N/A</c:v>
                </c:pt>
              </c:numCache>
            </c:numRef>
          </c:val>
          <c:extLst>
            <c:ext xmlns:c16="http://schemas.microsoft.com/office/drawing/2014/chart" uri="{C3380CC4-5D6E-409C-BE32-E72D297353CC}">
              <c16:uniqueId val="{00000001-7567-4DDB-9768-08A1895B2BE2}"/>
            </c:ext>
          </c:extLst>
        </c:ser>
        <c:ser>
          <c:idx val="2"/>
          <c:order val="2"/>
          <c:spPr>
            <a:blipFill>
              <a:blip xmlns:r="http://schemas.openxmlformats.org/officeDocument/2006/relationships" r:embed="rId5"/>
              <a:stretch>
                <a:fillRect/>
              </a:stretch>
            </a:blipFill>
            <a:ln>
              <a:noFill/>
            </a:ln>
            <a:effectLst/>
          </c:spPr>
          <c:invertIfNegative val="0"/>
          <c:val>
            <c:numRef>
              <c:f>'Backend P0'!$K$3</c:f>
              <c:numCache>
                <c:formatCode>General</c:formatCode>
                <c:ptCount val="1"/>
                <c:pt idx="0">
                  <c:v>#N/A</c:v>
                </c:pt>
              </c:numCache>
            </c:numRef>
          </c:val>
          <c:extLst>
            <c:ext xmlns:c16="http://schemas.microsoft.com/office/drawing/2014/chart" uri="{C3380CC4-5D6E-409C-BE32-E72D297353CC}">
              <c16:uniqueId val="{00000002-7567-4DDB-9768-08A1895B2BE2}"/>
            </c:ext>
          </c:extLst>
        </c:ser>
        <c:dLbls>
          <c:showLegendKey val="0"/>
          <c:showVal val="0"/>
          <c:showCatName val="0"/>
          <c:showSerName val="0"/>
          <c:showPercent val="0"/>
          <c:showBubbleSize val="0"/>
        </c:dLbls>
        <c:gapWidth val="0"/>
        <c:overlap val="100"/>
        <c:axId val="891404656"/>
        <c:axId val="891405072"/>
      </c:barChart>
      <c:catAx>
        <c:axId val="891404656"/>
        <c:scaling>
          <c:orientation val="minMax"/>
        </c:scaling>
        <c:delete val="1"/>
        <c:axPos val="b"/>
        <c:majorTickMark val="none"/>
        <c:minorTickMark val="none"/>
        <c:tickLblPos val="none"/>
        <c:crossAx val="891405072"/>
        <c:crosses val="autoZero"/>
        <c:auto val="1"/>
        <c:lblAlgn val="ctr"/>
        <c:lblOffset val="100"/>
        <c:noMultiLvlLbl val="0"/>
      </c:catAx>
      <c:valAx>
        <c:axId val="891405072"/>
        <c:scaling>
          <c:orientation val="minMax"/>
        </c:scaling>
        <c:delete val="0"/>
        <c:axPos val="l"/>
        <c:majorGridlines>
          <c:spPr>
            <a:ln w="9525" cap="flat" cmpd="sng" algn="ctr">
              <a:noFill/>
              <a:round/>
            </a:ln>
            <a:effectLst/>
          </c:spPr>
        </c:majorGridlines>
        <c:numFmt formatCode="0%" sourceLinked="1"/>
        <c:majorTickMark val="none"/>
        <c:minorTickMark val="none"/>
        <c:tickLblPos val="none"/>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891404656"/>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
          <c:y val="0"/>
          <c:w val="1"/>
          <c:h val="1"/>
        </c:manualLayout>
      </c:layout>
      <c:barChart>
        <c:barDir val="col"/>
        <c:grouping val="percentStacked"/>
        <c:varyColors val="0"/>
        <c:ser>
          <c:idx val="0"/>
          <c:order val="0"/>
          <c:spPr>
            <a:blipFill>
              <a:blip xmlns:r="http://schemas.openxmlformats.org/officeDocument/2006/relationships" r:embed="rId3"/>
              <a:stretch>
                <a:fillRect/>
              </a:stretch>
            </a:blipFill>
            <a:ln>
              <a:noFill/>
            </a:ln>
            <a:effectLst/>
          </c:spPr>
          <c:invertIfNegative val="0"/>
          <c:dPt>
            <c:idx val="0"/>
            <c:invertIfNegative val="0"/>
            <c:bubble3D val="0"/>
            <c:extLst>
              <c:ext xmlns:c16="http://schemas.microsoft.com/office/drawing/2014/chart" uri="{C3380CC4-5D6E-409C-BE32-E72D297353CC}">
                <c16:uniqueId val="{00000004-B99B-4847-B84E-71220E0A78D2}"/>
              </c:ext>
            </c:extLst>
          </c:dPt>
          <c:val>
            <c:numRef>
              <c:f>'Backend P0'!$I$4</c:f>
              <c:numCache>
                <c:formatCode>General</c:formatCode>
                <c:ptCount val="1"/>
                <c:pt idx="0">
                  <c:v>1</c:v>
                </c:pt>
              </c:numCache>
            </c:numRef>
          </c:val>
          <c:extLst>
            <c:ext xmlns:c16="http://schemas.microsoft.com/office/drawing/2014/chart" uri="{C3380CC4-5D6E-409C-BE32-E72D297353CC}">
              <c16:uniqueId val="{00000000-B99B-4847-B84E-71220E0A78D2}"/>
            </c:ext>
          </c:extLst>
        </c:ser>
        <c:ser>
          <c:idx val="1"/>
          <c:order val="1"/>
          <c:spPr>
            <a:blipFill>
              <a:blip xmlns:r="http://schemas.openxmlformats.org/officeDocument/2006/relationships" r:embed="rId4"/>
              <a:stretch>
                <a:fillRect/>
              </a:stretch>
            </a:blipFill>
            <a:ln>
              <a:noFill/>
            </a:ln>
            <a:effectLst/>
          </c:spPr>
          <c:invertIfNegative val="0"/>
          <c:dPt>
            <c:idx val="0"/>
            <c:invertIfNegative val="0"/>
            <c:bubble3D val="0"/>
            <c:spPr>
              <a:blipFill>
                <a:blip xmlns:r="http://schemas.openxmlformats.org/officeDocument/2006/relationships" r:embed="rId5"/>
                <a:stretch>
                  <a:fillRect/>
                </a:stretch>
              </a:blipFill>
              <a:ln>
                <a:noFill/>
              </a:ln>
              <a:effectLst/>
            </c:spPr>
            <c:extLst>
              <c:ext xmlns:c16="http://schemas.microsoft.com/office/drawing/2014/chart" uri="{C3380CC4-5D6E-409C-BE32-E72D297353CC}">
                <c16:uniqueId val="{00000003-B17D-B248-A650-C835A308E1E0}"/>
              </c:ext>
            </c:extLst>
          </c:dPt>
          <c:val>
            <c:numRef>
              <c:f>'Backend P0'!$J$4</c:f>
              <c:numCache>
                <c:formatCode>General</c:formatCode>
                <c:ptCount val="1"/>
                <c:pt idx="0">
                  <c:v>#N/A</c:v>
                </c:pt>
              </c:numCache>
            </c:numRef>
          </c:val>
          <c:extLst>
            <c:ext xmlns:c16="http://schemas.microsoft.com/office/drawing/2014/chart" uri="{C3380CC4-5D6E-409C-BE32-E72D297353CC}">
              <c16:uniqueId val="{00000001-B99B-4847-B84E-71220E0A78D2}"/>
            </c:ext>
          </c:extLst>
        </c:ser>
        <c:ser>
          <c:idx val="2"/>
          <c:order val="2"/>
          <c:spPr>
            <a:blipFill>
              <a:blip xmlns:r="http://schemas.openxmlformats.org/officeDocument/2006/relationships" r:embed="rId6"/>
              <a:stretch>
                <a:fillRect/>
              </a:stretch>
            </a:blipFill>
            <a:ln>
              <a:noFill/>
            </a:ln>
            <a:effectLst/>
          </c:spPr>
          <c:invertIfNegative val="0"/>
          <c:val>
            <c:numRef>
              <c:f>'Backend P0'!$K$4</c:f>
              <c:numCache>
                <c:formatCode>General</c:formatCode>
                <c:ptCount val="1"/>
                <c:pt idx="0">
                  <c:v>#N/A</c:v>
                </c:pt>
              </c:numCache>
            </c:numRef>
          </c:val>
          <c:extLst>
            <c:ext xmlns:c16="http://schemas.microsoft.com/office/drawing/2014/chart" uri="{C3380CC4-5D6E-409C-BE32-E72D297353CC}">
              <c16:uniqueId val="{00000002-B99B-4847-B84E-71220E0A78D2}"/>
            </c:ext>
          </c:extLst>
        </c:ser>
        <c:dLbls>
          <c:showLegendKey val="0"/>
          <c:showVal val="0"/>
          <c:showCatName val="0"/>
          <c:showSerName val="0"/>
          <c:showPercent val="0"/>
          <c:showBubbleSize val="0"/>
        </c:dLbls>
        <c:gapWidth val="0"/>
        <c:overlap val="100"/>
        <c:axId val="891404656"/>
        <c:axId val="891405072"/>
      </c:barChart>
      <c:catAx>
        <c:axId val="891404656"/>
        <c:scaling>
          <c:orientation val="minMax"/>
        </c:scaling>
        <c:delete val="1"/>
        <c:axPos val="b"/>
        <c:majorTickMark val="none"/>
        <c:minorTickMark val="none"/>
        <c:tickLblPos val="none"/>
        <c:crossAx val="891405072"/>
        <c:crosses val="autoZero"/>
        <c:auto val="1"/>
        <c:lblAlgn val="ctr"/>
        <c:lblOffset val="100"/>
        <c:noMultiLvlLbl val="0"/>
      </c:catAx>
      <c:valAx>
        <c:axId val="891405072"/>
        <c:scaling>
          <c:orientation val="minMax"/>
        </c:scaling>
        <c:delete val="0"/>
        <c:axPos val="l"/>
        <c:majorGridlines>
          <c:spPr>
            <a:ln w="9525" cap="flat" cmpd="sng" algn="ctr">
              <a:noFill/>
              <a:round/>
            </a:ln>
            <a:effectLst/>
          </c:spPr>
        </c:majorGridlines>
        <c:numFmt formatCode="0%" sourceLinked="1"/>
        <c:majorTickMark val="none"/>
        <c:minorTickMark val="none"/>
        <c:tickLblPos val="none"/>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891404656"/>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
          <c:y val="0"/>
          <c:w val="1"/>
          <c:h val="1"/>
        </c:manualLayout>
      </c:layout>
      <c:barChart>
        <c:barDir val="col"/>
        <c:grouping val="percentStacked"/>
        <c:varyColors val="0"/>
        <c:ser>
          <c:idx val="0"/>
          <c:order val="0"/>
          <c:spPr>
            <a:blipFill>
              <a:blip xmlns:r="http://schemas.openxmlformats.org/officeDocument/2006/relationships" r:embed="rId3"/>
              <a:stretch>
                <a:fillRect/>
              </a:stretch>
            </a:blipFill>
            <a:ln>
              <a:noFill/>
            </a:ln>
            <a:effectLst/>
          </c:spPr>
          <c:invertIfNegative val="0"/>
          <c:val>
            <c:numRef>
              <c:f>'Backend P0'!$I$5</c:f>
              <c:numCache>
                <c:formatCode>General</c:formatCode>
                <c:ptCount val="1"/>
                <c:pt idx="0">
                  <c:v>1</c:v>
                </c:pt>
              </c:numCache>
            </c:numRef>
          </c:val>
          <c:extLst>
            <c:ext xmlns:c16="http://schemas.microsoft.com/office/drawing/2014/chart" uri="{C3380CC4-5D6E-409C-BE32-E72D297353CC}">
              <c16:uniqueId val="{00000000-1D06-4CC3-8687-4B897CE8D488}"/>
            </c:ext>
          </c:extLst>
        </c:ser>
        <c:ser>
          <c:idx val="1"/>
          <c:order val="1"/>
          <c:spPr>
            <a:blipFill>
              <a:blip xmlns:r="http://schemas.openxmlformats.org/officeDocument/2006/relationships" r:embed="rId4"/>
              <a:stretch>
                <a:fillRect/>
              </a:stretch>
            </a:blipFill>
            <a:ln>
              <a:noFill/>
            </a:ln>
            <a:effectLst/>
          </c:spPr>
          <c:invertIfNegative val="0"/>
          <c:val>
            <c:numRef>
              <c:f>'Backend P0'!$J$5</c:f>
              <c:numCache>
                <c:formatCode>General</c:formatCode>
                <c:ptCount val="1"/>
                <c:pt idx="0">
                  <c:v>#N/A</c:v>
                </c:pt>
              </c:numCache>
            </c:numRef>
          </c:val>
          <c:extLst>
            <c:ext xmlns:c16="http://schemas.microsoft.com/office/drawing/2014/chart" uri="{C3380CC4-5D6E-409C-BE32-E72D297353CC}">
              <c16:uniqueId val="{00000001-1D06-4CC3-8687-4B897CE8D488}"/>
            </c:ext>
          </c:extLst>
        </c:ser>
        <c:ser>
          <c:idx val="2"/>
          <c:order val="2"/>
          <c:spPr>
            <a:blipFill>
              <a:blip xmlns:r="http://schemas.openxmlformats.org/officeDocument/2006/relationships" r:embed="rId5"/>
              <a:stretch>
                <a:fillRect/>
              </a:stretch>
            </a:blipFill>
            <a:ln>
              <a:noFill/>
            </a:ln>
            <a:effectLst/>
          </c:spPr>
          <c:invertIfNegative val="0"/>
          <c:val>
            <c:numRef>
              <c:f>'Backend P0'!$K$5</c:f>
              <c:numCache>
                <c:formatCode>General</c:formatCode>
                <c:ptCount val="1"/>
                <c:pt idx="0">
                  <c:v>#N/A</c:v>
                </c:pt>
              </c:numCache>
            </c:numRef>
          </c:val>
          <c:extLst>
            <c:ext xmlns:c16="http://schemas.microsoft.com/office/drawing/2014/chart" uri="{C3380CC4-5D6E-409C-BE32-E72D297353CC}">
              <c16:uniqueId val="{00000002-1D06-4CC3-8687-4B897CE8D488}"/>
            </c:ext>
          </c:extLst>
        </c:ser>
        <c:dLbls>
          <c:showLegendKey val="0"/>
          <c:showVal val="0"/>
          <c:showCatName val="0"/>
          <c:showSerName val="0"/>
          <c:showPercent val="0"/>
          <c:showBubbleSize val="0"/>
        </c:dLbls>
        <c:gapWidth val="0"/>
        <c:overlap val="100"/>
        <c:axId val="1369328991"/>
        <c:axId val="1369329407"/>
      </c:barChart>
      <c:catAx>
        <c:axId val="1369328991"/>
        <c:scaling>
          <c:orientation val="minMax"/>
        </c:scaling>
        <c:delete val="1"/>
        <c:axPos val="b"/>
        <c:majorTickMark val="none"/>
        <c:minorTickMark val="none"/>
        <c:tickLblPos val="nextTo"/>
        <c:crossAx val="1369329407"/>
        <c:crosses val="autoZero"/>
        <c:auto val="1"/>
        <c:lblAlgn val="ctr"/>
        <c:lblOffset val="100"/>
        <c:noMultiLvlLbl val="0"/>
      </c:catAx>
      <c:valAx>
        <c:axId val="1369329407"/>
        <c:scaling>
          <c:orientation val="minMax"/>
        </c:scaling>
        <c:delete val="1"/>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crossAx val="136932899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
          <c:y val="0"/>
          <c:w val="1"/>
          <c:h val="1"/>
        </c:manualLayout>
      </c:layout>
      <c:scatterChart>
        <c:scatterStyle val="lineMarker"/>
        <c:varyColors val="0"/>
        <c:ser>
          <c:idx val="0"/>
          <c:order val="0"/>
          <c:spPr>
            <a:ln w="19050" cap="rnd">
              <a:noFill/>
              <a:round/>
            </a:ln>
            <a:effectLst/>
          </c:spPr>
          <c:marker>
            <c:symbol val="picture"/>
            <c:spPr>
              <a:blipFill>
                <a:blip xmlns:r="http://schemas.openxmlformats.org/officeDocument/2006/relationships" r:embed="rId1"/>
                <a:stretch>
                  <a:fillRect/>
                </a:stretch>
              </a:blipFill>
              <a:ln w="25400">
                <a:noFill/>
              </a:ln>
              <a:effectLst/>
            </c:spPr>
          </c:marker>
          <c:xVal>
            <c:numRef>
              <c:f>'Backend P0'!$I$6</c:f>
              <c:numCache>
                <c:formatCode>General</c:formatCode>
                <c:ptCount val="1"/>
                <c:pt idx="0">
                  <c:v>1</c:v>
                </c:pt>
              </c:numCache>
            </c:numRef>
          </c:xVal>
          <c:yVal>
            <c:numLit>
              <c:formatCode>General</c:formatCode>
              <c:ptCount val="1"/>
              <c:pt idx="0">
                <c:v>1.3</c:v>
              </c:pt>
            </c:numLit>
          </c:yVal>
          <c:smooth val="0"/>
          <c:extLst>
            <c:ext xmlns:c16="http://schemas.microsoft.com/office/drawing/2014/chart" uri="{C3380CC4-5D6E-409C-BE32-E72D297353CC}">
              <c16:uniqueId val="{00000000-F9C6-4F4E-8F7E-816113623423}"/>
            </c:ext>
          </c:extLst>
        </c:ser>
        <c:ser>
          <c:idx val="1"/>
          <c:order val="1"/>
          <c:spPr>
            <a:ln w="19050" cap="rnd">
              <a:noFill/>
              <a:round/>
            </a:ln>
            <a:effectLst/>
          </c:spPr>
          <c:marker>
            <c:symbol val="picture"/>
            <c:spPr>
              <a:blipFill>
                <a:blip xmlns:r="http://schemas.openxmlformats.org/officeDocument/2006/relationships" r:embed="rId2"/>
                <a:stretch>
                  <a:fillRect/>
                </a:stretch>
              </a:blipFill>
              <a:ln w="25400">
                <a:noFill/>
              </a:ln>
              <a:effectLst/>
            </c:spPr>
          </c:marker>
          <c:xVal>
            <c:numRef>
              <c:f>'Backend P0'!$J$6</c:f>
              <c:numCache>
                <c:formatCode>General</c:formatCode>
                <c:ptCount val="1"/>
                <c:pt idx="0">
                  <c:v>#N/A</c:v>
                </c:pt>
              </c:numCache>
            </c:numRef>
          </c:xVal>
          <c:yVal>
            <c:numLit>
              <c:formatCode>General</c:formatCode>
              <c:ptCount val="1"/>
              <c:pt idx="0">
                <c:v>0.6</c:v>
              </c:pt>
            </c:numLit>
          </c:yVal>
          <c:smooth val="0"/>
          <c:extLst>
            <c:ext xmlns:c16="http://schemas.microsoft.com/office/drawing/2014/chart" uri="{C3380CC4-5D6E-409C-BE32-E72D297353CC}">
              <c16:uniqueId val="{00000001-F9C6-4F4E-8F7E-816113623423}"/>
            </c:ext>
          </c:extLst>
        </c:ser>
        <c:ser>
          <c:idx val="2"/>
          <c:order val="2"/>
          <c:spPr>
            <a:ln w="25400" cap="rnd">
              <a:noFill/>
              <a:round/>
            </a:ln>
            <a:effectLst/>
          </c:spPr>
          <c:marker>
            <c:symbol val="picture"/>
            <c:spPr>
              <a:blipFill>
                <a:blip xmlns:r="http://schemas.openxmlformats.org/officeDocument/2006/relationships" r:embed="rId3"/>
                <a:stretch>
                  <a:fillRect/>
                </a:stretch>
              </a:blipFill>
              <a:ln w="25400">
                <a:noFill/>
              </a:ln>
              <a:effectLst/>
            </c:spPr>
          </c:marker>
          <c:xVal>
            <c:numRef>
              <c:f>'Backend P0'!$K$6</c:f>
              <c:numCache>
                <c:formatCode>General</c:formatCode>
                <c:ptCount val="1"/>
                <c:pt idx="0">
                  <c:v>#N/A</c:v>
                </c:pt>
              </c:numCache>
            </c:numRef>
          </c:xVal>
          <c:yVal>
            <c:numLit>
              <c:formatCode>General</c:formatCode>
              <c:ptCount val="1"/>
              <c:pt idx="0">
                <c:v>1.5</c:v>
              </c:pt>
            </c:numLit>
          </c:yVal>
          <c:smooth val="0"/>
          <c:extLst>
            <c:ext xmlns:c16="http://schemas.microsoft.com/office/drawing/2014/chart" uri="{C3380CC4-5D6E-409C-BE32-E72D297353CC}">
              <c16:uniqueId val="{00000002-F9C6-4F4E-8F7E-816113623423}"/>
            </c:ext>
          </c:extLst>
        </c:ser>
        <c:dLbls>
          <c:showLegendKey val="0"/>
          <c:showVal val="0"/>
          <c:showCatName val="0"/>
          <c:showSerName val="0"/>
          <c:showPercent val="0"/>
          <c:showBubbleSize val="0"/>
        </c:dLbls>
        <c:axId val="2057179327"/>
        <c:axId val="2057171839"/>
      </c:scatterChart>
      <c:valAx>
        <c:axId val="2057179327"/>
        <c:scaling>
          <c:orientation val="minMax"/>
          <c:max val="2"/>
          <c:min val="0"/>
        </c:scaling>
        <c:delete val="0"/>
        <c:axPos val="b"/>
        <c:majorGridlines>
          <c:spPr>
            <a:ln w="9525" cap="flat" cmpd="sng" algn="ctr">
              <a:noFill/>
              <a:round/>
            </a:ln>
            <a:effectLst/>
          </c:spPr>
        </c:majorGridlines>
        <c:numFmt formatCode="General" sourceLinked="1"/>
        <c:majorTickMark val="none"/>
        <c:minorTickMark val="none"/>
        <c:tickLblPos val="none"/>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057171839"/>
        <c:crosses val="autoZero"/>
        <c:crossBetween val="midCat"/>
      </c:valAx>
      <c:valAx>
        <c:axId val="2057171839"/>
        <c:scaling>
          <c:orientation val="minMax"/>
          <c:max val="2"/>
          <c:min val="0"/>
        </c:scaling>
        <c:delete val="0"/>
        <c:axPos val="l"/>
        <c:majorGridlines>
          <c:spPr>
            <a:ln w="9525" cap="flat" cmpd="sng" algn="ctr">
              <a:noFill/>
              <a:round/>
            </a:ln>
            <a:effectLst/>
          </c:spPr>
        </c:majorGridlines>
        <c:numFmt formatCode="General" sourceLinked="1"/>
        <c:majorTickMark val="none"/>
        <c:minorTickMark val="none"/>
        <c:tickLblPos val="none"/>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057179327"/>
        <c:crosses val="autoZero"/>
        <c:crossBetween val="midCat"/>
      </c:valAx>
      <c:spPr>
        <a:blipFill>
          <a:blip xmlns:r="http://schemas.openxmlformats.org/officeDocument/2006/relationships" r:embed="rId4"/>
          <a:stretch>
            <a:fillRect/>
          </a:stretch>
        </a:blip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2.5000000000000001E-2"/>
          <c:y val="5.0925925925925923E-2"/>
          <c:w val="0.93888888888888888"/>
          <c:h val="0.89814814814814814"/>
        </c:manualLayout>
      </c:layout>
      <c:scatterChart>
        <c:scatterStyle val="lineMarker"/>
        <c:varyColors val="0"/>
        <c:ser>
          <c:idx val="0"/>
          <c:order val="0"/>
          <c:spPr>
            <a:ln w="25400" cap="rnd">
              <a:noFill/>
              <a:round/>
            </a:ln>
            <a:effectLst/>
          </c:spPr>
          <c:marker>
            <c:symbol val="circle"/>
            <c:size val="5"/>
            <c:spPr>
              <a:solidFill>
                <a:schemeClr val="accent1"/>
              </a:solidFill>
              <a:ln w="9525">
                <a:solidFill>
                  <a:schemeClr val="accent1"/>
                </a:solidFill>
              </a:ln>
              <a:effectLst/>
            </c:spPr>
          </c:marker>
          <c:dPt>
            <c:idx val="0"/>
            <c:marker>
              <c:symbol val="picture"/>
              <c:spPr>
                <a:blipFill>
                  <a:blip xmlns:r="http://schemas.openxmlformats.org/officeDocument/2006/relationships" r:embed="rId1"/>
                  <a:stretch>
                    <a:fillRect/>
                  </a:stretch>
                </a:blipFill>
                <a:ln w="25400">
                  <a:noFill/>
                </a:ln>
                <a:effectLst/>
              </c:spPr>
            </c:marker>
            <c:bubble3D val="0"/>
            <c:extLst>
              <c:ext xmlns:c16="http://schemas.microsoft.com/office/drawing/2014/chart" uri="{C3380CC4-5D6E-409C-BE32-E72D297353CC}">
                <c16:uniqueId val="{00000000-61A4-464C-BE59-37E4118B75C7}"/>
              </c:ext>
            </c:extLst>
          </c:dPt>
          <c:dPt>
            <c:idx val="1"/>
            <c:marker>
              <c:symbol val="picture"/>
              <c:spPr>
                <a:blipFill>
                  <a:blip xmlns:r="http://schemas.openxmlformats.org/officeDocument/2006/relationships" r:embed="rId2"/>
                  <a:stretch>
                    <a:fillRect/>
                  </a:stretch>
                </a:blipFill>
                <a:ln w="25400">
                  <a:noFill/>
                </a:ln>
                <a:effectLst/>
              </c:spPr>
            </c:marker>
            <c:bubble3D val="0"/>
            <c:extLst>
              <c:ext xmlns:c16="http://schemas.microsoft.com/office/drawing/2014/chart" uri="{C3380CC4-5D6E-409C-BE32-E72D297353CC}">
                <c16:uniqueId val="{00000006-61A4-464C-BE59-37E4118B75C7}"/>
              </c:ext>
            </c:extLst>
          </c:dPt>
          <c:dPt>
            <c:idx val="2"/>
            <c:marker>
              <c:symbol val="picture"/>
              <c:spPr>
                <a:blipFill>
                  <a:blip xmlns:r="http://schemas.openxmlformats.org/officeDocument/2006/relationships" r:embed="rId3"/>
                  <a:stretch>
                    <a:fillRect/>
                  </a:stretch>
                </a:blipFill>
                <a:ln w="25400">
                  <a:noFill/>
                </a:ln>
                <a:effectLst/>
              </c:spPr>
            </c:marker>
            <c:bubble3D val="0"/>
            <c:extLst>
              <c:ext xmlns:c16="http://schemas.microsoft.com/office/drawing/2014/chart" uri="{C3380CC4-5D6E-409C-BE32-E72D297353CC}">
                <c16:uniqueId val="{00000001-61A4-464C-BE59-37E4118B75C7}"/>
              </c:ext>
            </c:extLst>
          </c:dPt>
          <c:dPt>
            <c:idx val="3"/>
            <c:marker>
              <c:symbol val="picture"/>
              <c:spPr>
                <a:blipFill>
                  <a:blip xmlns:r="http://schemas.openxmlformats.org/officeDocument/2006/relationships" r:embed="rId4"/>
                  <a:stretch>
                    <a:fillRect/>
                  </a:stretch>
                </a:blipFill>
                <a:ln w="25400">
                  <a:noFill/>
                </a:ln>
                <a:effectLst/>
              </c:spPr>
            </c:marker>
            <c:bubble3D val="0"/>
            <c:extLst>
              <c:ext xmlns:c16="http://schemas.microsoft.com/office/drawing/2014/chart" uri="{C3380CC4-5D6E-409C-BE32-E72D297353CC}">
                <c16:uniqueId val="{00000002-61A4-464C-BE59-37E4118B75C7}"/>
              </c:ext>
            </c:extLst>
          </c:dPt>
          <c:dPt>
            <c:idx val="4"/>
            <c:marker>
              <c:symbol val="picture"/>
              <c:spPr>
                <a:blipFill>
                  <a:blip xmlns:r="http://schemas.openxmlformats.org/officeDocument/2006/relationships" r:embed="rId5"/>
                  <a:stretch>
                    <a:fillRect/>
                  </a:stretch>
                </a:blipFill>
                <a:ln w="25400">
                  <a:noFill/>
                </a:ln>
                <a:effectLst/>
              </c:spPr>
            </c:marker>
            <c:bubble3D val="0"/>
            <c:extLst>
              <c:ext xmlns:c16="http://schemas.microsoft.com/office/drawing/2014/chart" uri="{C3380CC4-5D6E-409C-BE32-E72D297353CC}">
                <c16:uniqueId val="{00000005-61A4-464C-BE59-37E4118B75C7}"/>
              </c:ext>
            </c:extLst>
          </c:dPt>
          <c:xVal>
            <c:numRef>
              <c:f>'Backend P1'!$J$10:$J$14</c:f>
              <c:numCache>
                <c:formatCode>General</c:formatCode>
                <c:ptCount val="5"/>
                <c:pt idx="0">
                  <c:v>#N/A</c:v>
                </c:pt>
                <c:pt idx="1">
                  <c:v>#N/A</c:v>
                </c:pt>
                <c:pt idx="2">
                  <c:v>#N/A</c:v>
                </c:pt>
                <c:pt idx="3">
                  <c:v>1</c:v>
                </c:pt>
                <c:pt idx="4">
                  <c:v>#N/A</c:v>
                </c:pt>
              </c:numCache>
            </c:numRef>
          </c:xVal>
          <c:yVal>
            <c:numRef>
              <c:f>'Backend P1'!$K$10:$K$14</c:f>
              <c:numCache>
                <c:formatCode>General</c:formatCode>
                <c:ptCount val="5"/>
                <c:pt idx="0">
                  <c:v>1</c:v>
                </c:pt>
                <c:pt idx="1">
                  <c:v>1</c:v>
                </c:pt>
                <c:pt idx="2">
                  <c:v>1</c:v>
                </c:pt>
                <c:pt idx="3">
                  <c:v>1</c:v>
                </c:pt>
                <c:pt idx="4">
                  <c:v>1</c:v>
                </c:pt>
              </c:numCache>
            </c:numRef>
          </c:yVal>
          <c:smooth val="0"/>
          <c:extLst>
            <c:ext xmlns:c16="http://schemas.microsoft.com/office/drawing/2014/chart" uri="{C3380CC4-5D6E-409C-BE32-E72D297353CC}">
              <c16:uniqueId val="{00000003-61A4-464C-BE59-37E4118B75C7}"/>
            </c:ext>
          </c:extLst>
        </c:ser>
        <c:dLbls>
          <c:showLegendKey val="0"/>
          <c:showVal val="0"/>
          <c:showCatName val="0"/>
          <c:showSerName val="0"/>
          <c:showPercent val="0"/>
          <c:showBubbleSize val="0"/>
        </c:dLbls>
        <c:axId val="1924442895"/>
        <c:axId val="1972563327"/>
      </c:scatterChart>
      <c:valAx>
        <c:axId val="1924442895"/>
        <c:scaling>
          <c:orientation val="minMax"/>
          <c:max val="2"/>
        </c:scaling>
        <c:delete val="0"/>
        <c:axPos val="b"/>
        <c:majorGridlines>
          <c:spPr>
            <a:ln w="9525" cap="flat" cmpd="sng" algn="ctr">
              <a:noFill/>
              <a:round/>
            </a:ln>
            <a:effectLst/>
          </c:spPr>
        </c:majorGridlines>
        <c:numFmt formatCode="General" sourceLinked="1"/>
        <c:majorTickMark val="none"/>
        <c:minorTickMark val="none"/>
        <c:tickLblPos val="none"/>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972563327"/>
        <c:crosses val="autoZero"/>
        <c:crossBetween val="midCat"/>
      </c:valAx>
      <c:valAx>
        <c:axId val="1972563327"/>
        <c:scaling>
          <c:orientation val="minMax"/>
          <c:max val="2"/>
          <c:min val="0"/>
        </c:scaling>
        <c:delete val="0"/>
        <c:axPos val="l"/>
        <c:majorGridlines>
          <c:spPr>
            <a:ln w="9525" cap="flat" cmpd="sng" algn="ctr">
              <a:noFill/>
              <a:round/>
            </a:ln>
            <a:effectLst/>
          </c:spPr>
        </c:majorGridlines>
        <c:numFmt formatCode="General" sourceLinked="1"/>
        <c:majorTickMark val="none"/>
        <c:minorTickMark val="none"/>
        <c:tickLblPos val="none"/>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924442895"/>
        <c:crosses val="autoZero"/>
        <c:crossBetween val="midCat"/>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1.8968115096724021E-3"/>
          <c:y val="8.9797803052396249E-4"/>
          <c:w val="0.99810318849032764"/>
          <c:h val="0.99907245390622468"/>
        </c:manualLayout>
      </c:layout>
      <c:pieChart>
        <c:varyColors val="1"/>
        <c:ser>
          <c:idx val="0"/>
          <c:order val="0"/>
          <c:spPr>
            <a:solidFill>
              <a:schemeClr val="bg2">
                <a:alpha val="70000"/>
              </a:schemeClr>
            </a:solidFill>
            <a:ln w="6350"/>
          </c:spPr>
          <c:dPt>
            <c:idx val="0"/>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01-B7BA-45EF-98F9-DA54F1D75F7B}"/>
              </c:ext>
            </c:extLst>
          </c:dPt>
          <c:dPt>
            <c:idx val="1"/>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03-B7BA-45EF-98F9-DA54F1D75F7B}"/>
              </c:ext>
            </c:extLst>
          </c:dPt>
          <c:dPt>
            <c:idx val="2"/>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05-B7BA-45EF-98F9-DA54F1D75F7B}"/>
              </c:ext>
            </c:extLst>
          </c:dPt>
          <c:dPt>
            <c:idx val="3"/>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07-B7BA-45EF-98F9-DA54F1D75F7B}"/>
              </c:ext>
            </c:extLst>
          </c:dPt>
          <c:dPt>
            <c:idx val="4"/>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09-B7BA-45EF-98F9-DA54F1D75F7B}"/>
              </c:ext>
            </c:extLst>
          </c:dPt>
          <c:dPt>
            <c:idx val="5"/>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0B-B7BA-45EF-98F9-DA54F1D75F7B}"/>
              </c:ext>
            </c:extLst>
          </c:dPt>
          <c:dPt>
            <c:idx val="6"/>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0D-B7BA-45EF-98F9-DA54F1D75F7B}"/>
              </c:ext>
            </c:extLst>
          </c:dPt>
          <c:dPt>
            <c:idx val="7"/>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0F-B7BA-45EF-98F9-DA54F1D75F7B}"/>
              </c:ext>
            </c:extLst>
          </c:dPt>
          <c:dPt>
            <c:idx val="8"/>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11-B7BA-45EF-98F9-DA54F1D75F7B}"/>
              </c:ext>
            </c:extLst>
          </c:dPt>
          <c:dPt>
            <c:idx val="9"/>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13-B7BA-45EF-98F9-DA54F1D75F7B}"/>
              </c:ext>
            </c:extLst>
          </c:dPt>
          <c:dPt>
            <c:idx val="10"/>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15-B7BA-45EF-98F9-DA54F1D75F7B}"/>
              </c:ext>
            </c:extLst>
          </c:dPt>
          <c:dPt>
            <c:idx val="11"/>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17-B7BA-45EF-98F9-DA54F1D75F7B}"/>
              </c:ext>
            </c:extLst>
          </c:dPt>
          <c:dPt>
            <c:idx val="12"/>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19-B7BA-45EF-98F9-DA54F1D75F7B}"/>
              </c:ext>
            </c:extLst>
          </c:dPt>
          <c:dPt>
            <c:idx val="13"/>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1B-B7BA-45EF-98F9-DA54F1D75F7B}"/>
              </c:ext>
            </c:extLst>
          </c:dPt>
          <c:dPt>
            <c:idx val="14"/>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1D-B7BA-45EF-98F9-DA54F1D75F7B}"/>
              </c:ext>
            </c:extLst>
          </c:dPt>
          <c:dPt>
            <c:idx val="15"/>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1F-B7BA-45EF-98F9-DA54F1D75F7B}"/>
              </c:ext>
            </c:extLst>
          </c:dPt>
          <c:dPt>
            <c:idx val="16"/>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21-B7BA-45EF-98F9-DA54F1D75F7B}"/>
              </c:ext>
            </c:extLst>
          </c:dPt>
          <c:dPt>
            <c:idx val="17"/>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23-B7BA-45EF-98F9-DA54F1D75F7B}"/>
              </c:ext>
            </c:extLst>
          </c:dPt>
          <c:dPt>
            <c:idx val="18"/>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25-B7BA-45EF-98F9-DA54F1D75F7B}"/>
              </c:ext>
            </c:extLst>
          </c:dPt>
          <c:dPt>
            <c:idx val="19"/>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27-B7BA-45EF-98F9-DA54F1D75F7B}"/>
              </c:ext>
            </c:extLst>
          </c:dPt>
          <c:dPt>
            <c:idx val="20"/>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29-B7BA-45EF-98F9-DA54F1D75F7B}"/>
              </c:ext>
            </c:extLst>
          </c:dPt>
          <c:dPt>
            <c:idx val="21"/>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2B-B7BA-45EF-98F9-DA54F1D75F7B}"/>
              </c:ext>
            </c:extLst>
          </c:dPt>
          <c:dPt>
            <c:idx val="22"/>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2D-B7BA-45EF-98F9-DA54F1D75F7B}"/>
              </c:ext>
            </c:extLst>
          </c:dPt>
          <c:dPt>
            <c:idx val="23"/>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2F-B7BA-45EF-98F9-DA54F1D75F7B}"/>
              </c:ext>
            </c:extLst>
          </c:dPt>
          <c:dPt>
            <c:idx val="24"/>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31-B7BA-45EF-98F9-DA54F1D75F7B}"/>
              </c:ext>
            </c:extLst>
          </c:dPt>
          <c:dPt>
            <c:idx val="25"/>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33-B7BA-45EF-98F9-DA54F1D75F7B}"/>
              </c:ext>
            </c:extLst>
          </c:dPt>
          <c:dPt>
            <c:idx val="26"/>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35-B7BA-45EF-98F9-DA54F1D75F7B}"/>
              </c:ext>
            </c:extLst>
          </c:dPt>
          <c:dPt>
            <c:idx val="27"/>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37-B7BA-45EF-98F9-DA54F1D75F7B}"/>
              </c:ext>
            </c:extLst>
          </c:dPt>
          <c:dPt>
            <c:idx val="28"/>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39-B7BA-45EF-98F9-DA54F1D75F7B}"/>
              </c:ext>
            </c:extLst>
          </c:dPt>
          <c:dPt>
            <c:idx val="29"/>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3B-B7BA-45EF-98F9-DA54F1D75F7B}"/>
              </c:ext>
            </c:extLst>
          </c:dPt>
          <c:dPt>
            <c:idx val="30"/>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3D-B7BA-45EF-98F9-DA54F1D75F7B}"/>
              </c:ext>
            </c:extLst>
          </c:dPt>
          <c:dPt>
            <c:idx val="31"/>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3F-B7BA-45EF-98F9-DA54F1D75F7B}"/>
              </c:ext>
            </c:extLst>
          </c:dPt>
          <c:dPt>
            <c:idx val="32"/>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41-B7BA-45EF-98F9-DA54F1D75F7B}"/>
              </c:ext>
            </c:extLst>
          </c:dPt>
          <c:dPt>
            <c:idx val="33"/>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43-B7BA-45EF-98F9-DA54F1D75F7B}"/>
              </c:ext>
            </c:extLst>
          </c:dPt>
          <c:val>
            <c:numRef>
              <c:f>Backend_Badge!$N$3:$N$36</c:f>
              <c:numCache>
                <c:formatCode>General</c:formatCode>
                <c:ptCount val="34"/>
                <c:pt idx="0">
                  <c:v>0</c:v>
                </c:pt>
                <c:pt idx="1">
                  <c:v>1</c:v>
                </c:pt>
                <c:pt idx="2">
                  <c:v>0</c:v>
                </c:pt>
                <c:pt idx="3">
                  <c:v>1</c:v>
                </c:pt>
                <c:pt idx="4">
                  <c:v>0</c:v>
                </c:pt>
                <c:pt idx="5">
                  <c:v>1</c:v>
                </c:pt>
                <c:pt idx="6">
                  <c:v>0</c:v>
                </c:pt>
                <c:pt idx="7">
                  <c:v>1</c:v>
                </c:pt>
                <c:pt idx="8">
                  <c:v>0</c:v>
                </c:pt>
                <c:pt idx="9">
                  <c:v>1</c:v>
                </c:pt>
                <c:pt idx="10">
                  <c:v>0</c:v>
                </c:pt>
                <c:pt idx="11">
                  <c:v>1</c:v>
                </c:pt>
                <c:pt idx="12">
                  <c:v>0</c:v>
                </c:pt>
                <c:pt idx="13">
                  <c:v>1</c:v>
                </c:pt>
                <c:pt idx="14">
                  <c:v>0</c:v>
                </c:pt>
                <c:pt idx="15">
                  <c:v>1</c:v>
                </c:pt>
                <c:pt idx="16">
                  <c:v>0</c:v>
                </c:pt>
                <c:pt idx="17">
                  <c:v>1</c:v>
                </c:pt>
                <c:pt idx="18">
                  <c:v>0</c:v>
                </c:pt>
                <c:pt idx="19">
                  <c:v>1</c:v>
                </c:pt>
                <c:pt idx="20">
                  <c:v>0</c:v>
                </c:pt>
                <c:pt idx="21">
                  <c:v>1</c:v>
                </c:pt>
                <c:pt idx="22">
                  <c:v>0</c:v>
                </c:pt>
                <c:pt idx="23">
                  <c:v>1</c:v>
                </c:pt>
                <c:pt idx="24">
                  <c:v>0</c:v>
                </c:pt>
                <c:pt idx="25">
                  <c:v>1</c:v>
                </c:pt>
                <c:pt idx="26">
                  <c:v>0</c:v>
                </c:pt>
                <c:pt idx="27">
                  <c:v>1</c:v>
                </c:pt>
                <c:pt idx="28">
                  <c:v>0</c:v>
                </c:pt>
                <c:pt idx="29">
                  <c:v>1</c:v>
                </c:pt>
                <c:pt idx="30">
                  <c:v>0</c:v>
                </c:pt>
                <c:pt idx="31">
                  <c:v>1</c:v>
                </c:pt>
                <c:pt idx="32">
                  <c:v>0</c:v>
                </c:pt>
                <c:pt idx="33">
                  <c:v>1</c:v>
                </c:pt>
              </c:numCache>
            </c:numRef>
          </c:val>
          <c:extLst>
            <c:ext xmlns:c16="http://schemas.microsoft.com/office/drawing/2014/chart" uri="{C3380CC4-5D6E-409C-BE32-E72D297353CC}">
              <c16:uniqueId val="{00000044-B7BA-45EF-98F9-DA54F1D75F7B}"/>
            </c:ext>
          </c:extLst>
        </c:ser>
        <c:dLbls>
          <c:showLegendKey val="0"/>
          <c:showVal val="0"/>
          <c:showCatName val="0"/>
          <c:showSerName val="0"/>
          <c:showPercent val="0"/>
          <c:showBubbleSize val="0"/>
          <c:showLeaderLines val="1"/>
        </c:dLbls>
        <c:firstSliceAng val="0"/>
      </c:pieChart>
      <c:spPr>
        <a:blipFill>
          <a:blip xmlns:r="http://schemas.openxmlformats.org/officeDocument/2006/relationships" r:embed="rId3"/>
          <a:stretch>
            <a:fillRect/>
          </a:stretch>
        </a:blip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
          <c:y val="0"/>
          <c:w val="1"/>
          <c:h val="1"/>
        </c:manualLayout>
      </c:layout>
      <c:barChart>
        <c:barDir val="col"/>
        <c:grouping val="stacked"/>
        <c:varyColors val="0"/>
        <c:ser>
          <c:idx val="0"/>
          <c:order val="0"/>
          <c:spPr>
            <a:blipFill>
              <a:blip xmlns:r="http://schemas.openxmlformats.org/officeDocument/2006/relationships" r:embed="rId3"/>
              <a:stretch>
                <a:fillRect/>
              </a:stretch>
            </a:blipFill>
            <a:ln>
              <a:noFill/>
            </a:ln>
            <a:effectLst/>
          </c:spPr>
          <c:invertIfNegative val="0"/>
          <c:cat>
            <c:strRef>
              <c:f>Backend_P2!$Q$3</c:f>
              <c:strCache>
                <c:ptCount val="1"/>
                <c:pt idx="0">
                  <c:v>Vis</c:v>
                </c:pt>
              </c:strCache>
            </c:strRef>
          </c:cat>
          <c:val>
            <c:numRef>
              <c:f>Backend_P2!$Q$4</c:f>
              <c:numCache>
                <c:formatCode>General</c:formatCode>
                <c:ptCount val="1"/>
                <c:pt idx="0">
                  <c:v>1</c:v>
                </c:pt>
              </c:numCache>
            </c:numRef>
          </c:val>
          <c:extLst>
            <c:ext xmlns:c16="http://schemas.microsoft.com/office/drawing/2014/chart" uri="{C3380CC4-5D6E-409C-BE32-E72D297353CC}">
              <c16:uniqueId val="{00000000-5891-4B99-A576-781F8F79E993}"/>
            </c:ext>
          </c:extLst>
        </c:ser>
        <c:ser>
          <c:idx val="1"/>
          <c:order val="1"/>
          <c:spPr>
            <a:blipFill>
              <a:blip xmlns:r="http://schemas.openxmlformats.org/officeDocument/2006/relationships" r:embed="rId4"/>
              <a:stretch>
                <a:fillRect/>
              </a:stretch>
            </a:blipFill>
            <a:ln>
              <a:noFill/>
            </a:ln>
            <a:effectLst/>
          </c:spPr>
          <c:invertIfNegative val="0"/>
          <c:cat>
            <c:strRef>
              <c:f>Backend_P2!$Q$3</c:f>
              <c:strCache>
                <c:ptCount val="1"/>
                <c:pt idx="0">
                  <c:v>Vis</c:v>
                </c:pt>
              </c:strCache>
            </c:strRef>
          </c:cat>
          <c:val>
            <c:numRef>
              <c:f>Backend_P2!$Q$5</c:f>
              <c:numCache>
                <c:formatCode>General</c:formatCode>
                <c:ptCount val="1"/>
                <c:pt idx="0">
                  <c:v>#N/A</c:v>
                </c:pt>
              </c:numCache>
            </c:numRef>
          </c:val>
          <c:extLst>
            <c:ext xmlns:c16="http://schemas.microsoft.com/office/drawing/2014/chart" uri="{C3380CC4-5D6E-409C-BE32-E72D297353CC}">
              <c16:uniqueId val="{00000001-5891-4B99-A576-781F8F79E993}"/>
            </c:ext>
          </c:extLst>
        </c:ser>
        <c:ser>
          <c:idx val="2"/>
          <c:order val="2"/>
          <c:spPr>
            <a:blipFill>
              <a:blip xmlns:r="http://schemas.openxmlformats.org/officeDocument/2006/relationships" r:embed="rId5"/>
              <a:stretch>
                <a:fillRect/>
              </a:stretch>
            </a:blipFill>
            <a:ln>
              <a:noFill/>
            </a:ln>
            <a:effectLst/>
          </c:spPr>
          <c:invertIfNegative val="0"/>
          <c:cat>
            <c:strRef>
              <c:f>Backend_P2!$Q$3</c:f>
              <c:strCache>
                <c:ptCount val="1"/>
                <c:pt idx="0">
                  <c:v>Vis</c:v>
                </c:pt>
              </c:strCache>
            </c:strRef>
          </c:cat>
          <c:val>
            <c:numRef>
              <c:f>Backend_P2!$Q$6</c:f>
              <c:numCache>
                <c:formatCode>General</c:formatCode>
                <c:ptCount val="1"/>
                <c:pt idx="0">
                  <c:v>#N/A</c:v>
                </c:pt>
              </c:numCache>
            </c:numRef>
          </c:val>
          <c:extLst>
            <c:ext xmlns:c16="http://schemas.microsoft.com/office/drawing/2014/chart" uri="{C3380CC4-5D6E-409C-BE32-E72D297353CC}">
              <c16:uniqueId val="{00000002-5891-4B99-A576-781F8F79E993}"/>
            </c:ext>
          </c:extLst>
        </c:ser>
        <c:ser>
          <c:idx val="3"/>
          <c:order val="3"/>
          <c:spPr>
            <a:blipFill>
              <a:blip xmlns:r="http://schemas.openxmlformats.org/officeDocument/2006/relationships" r:embed="rId6"/>
              <a:stretch>
                <a:fillRect/>
              </a:stretch>
            </a:blipFill>
            <a:ln>
              <a:noFill/>
            </a:ln>
            <a:effectLst/>
          </c:spPr>
          <c:invertIfNegative val="0"/>
          <c:cat>
            <c:strRef>
              <c:f>Backend_P2!$Q$3</c:f>
              <c:strCache>
                <c:ptCount val="1"/>
                <c:pt idx="0">
                  <c:v>Vis</c:v>
                </c:pt>
              </c:strCache>
            </c:strRef>
          </c:cat>
          <c:val>
            <c:numRef>
              <c:f>Backend_P2!$Q$7</c:f>
              <c:numCache>
                <c:formatCode>General</c:formatCode>
                <c:ptCount val="1"/>
                <c:pt idx="0">
                  <c:v>#N/A</c:v>
                </c:pt>
              </c:numCache>
            </c:numRef>
          </c:val>
          <c:extLst>
            <c:ext xmlns:c16="http://schemas.microsoft.com/office/drawing/2014/chart" uri="{C3380CC4-5D6E-409C-BE32-E72D297353CC}">
              <c16:uniqueId val="{00000003-5891-4B99-A576-781F8F79E993}"/>
            </c:ext>
          </c:extLst>
        </c:ser>
        <c:ser>
          <c:idx val="4"/>
          <c:order val="4"/>
          <c:spPr>
            <a:blipFill>
              <a:blip xmlns:r="http://schemas.openxmlformats.org/officeDocument/2006/relationships" r:embed="rId7"/>
              <a:stretch>
                <a:fillRect/>
              </a:stretch>
            </a:blipFill>
            <a:ln>
              <a:noFill/>
            </a:ln>
            <a:effectLst/>
          </c:spPr>
          <c:invertIfNegative val="0"/>
          <c:cat>
            <c:strRef>
              <c:f>Backend_P2!$Q$3</c:f>
              <c:strCache>
                <c:ptCount val="1"/>
                <c:pt idx="0">
                  <c:v>Vis</c:v>
                </c:pt>
              </c:strCache>
            </c:strRef>
          </c:cat>
          <c:val>
            <c:numRef>
              <c:f>Backend_P2!$Q$8</c:f>
              <c:numCache>
                <c:formatCode>General</c:formatCode>
                <c:ptCount val="1"/>
                <c:pt idx="0">
                  <c:v>#N/A</c:v>
                </c:pt>
              </c:numCache>
            </c:numRef>
          </c:val>
          <c:extLst>
            <c:ext xmlns:c16="http://schemas.microsoft.com/office/drawing/2014/chart" uri="{C3380CC4-5D6E-409C-BE32-E72D297353CC}">
              <c16:uniqueId val="{00000004-5891-4B99-A576-781F8F79E993}"/>
            </c:ext>
          </c:extLst>
        </c:ser>
        <c:ser>
          <c:idx val="5"/>
          <c:order val="5"/>
          <c:spPr>
            <a:blipFill>
              <a:blip xmlns:r="http://schemas.openxmlformats.org/officeDocument/2006/relationships" r:embed="rId8"/>
              <a:stretch>
                <a:fillRect/>
              </a:stretch>
            </a:blipFill>
            <a:ln>
              <a:noFill/>
            </a:ln>
            <a:effectLst/>
          </c:spPr>
          <c:invertIfNegative val="0"/>
          <c:cat>
            <c:strRef>
              <c:f>Backend_P2!$Q$3</c:f>
              <c:strCache>
                <c:ptCount val="1"/>
                <c:pt idx="0">
                  <c:v>Vis</c:v>
                </c:pt>
              </c:strCache>
            </c:strRef>
          </c:cat>
          <c:val>
            <c:numRef>
              <c:f>Backend_P2!$Q$9</c:f>
              <c:numCache>
                <c:formatCode>General</c:formatCode>
                <c:ptCount val="1"/>
                <c:pt idx="0">
                  <c:v>#N/A</c:v>
                </c:pt>
              </c:numCache>
            </c:numRef>
          </c:val>
          <c:extLst>
            <c:ext xmlns:c16="http://schemas.microsoft.com/office/drawing/2014/chart" uri="{C3380CC4-5D6E-409C-BE32-E72D297353CC}">
              <c16:uniqueId val="{00000005-5891-4B99-A576-781F8F79E993}"/>
            </c:ext>
          </c:extLst>
        </c:ser>
        <c:ser>
          <c:idx val="6"/>
          <c:order val="6"/>
          <c:spPr>
            <a:blipFill>
              <a:blip xmlns:r="http://schemas.openxmlformats.org/officeDocument/2006/relationships" r:embed="rId9"/>
              <a:stretch>
                <a:fillRect/>
              </a:stretch>
            </a:blipFill>
            <a:ln>
              <a:noFill/>
            </a:ln>
            <a:effectLst/>
          </c:spPr>
          <c:invertIfNegative val="0"/>
          <c:cat>
            <c:strRef>
              <c:f>Backend_P2!$Q$3</c:f>
              <c:strCache>
                <c:ptCount val="1"/>
                <c:pt idx="0">
                  <c:v>Vis</c:v>
                </c:pt>
              </c:strCache>
            </c:strRef>
          </c:cat>
          <c:val>
            <c:numRef>
              <c:f>Backend_P2!$Q$10</c:f>
              <c:numCache>
                <c:formatCode>General</c:formatCode>
                <c:ptCount val="1"/>
                <c:pt idx="0">
                  <c:v>#N/A</c:v>
                </c:pt>
              </c:numCache>
            </c:numRef>
          </c:val>
          <c:extLst>
            <c:ext xmlns:c16="http://schemas.microsoft.com/office/drawing/2014/chart" uri="{C3380CC4-5D6E-409C-BE32-E72D297353CC}">
              <c16:uniqueId val="{00000006-5891-4B99-A576-781F8F79E993}"/>
            </c:ext>
          </c:extLst>
        </c:ser>
        <c:ser>
          <c:idx val="7"/>
          <c:order val="7"/>
          <c:spPr>
            <a:blipFill>
              <a:blip xmlns:r="http://schemas.openxmlformats.org/officeDocument/2006/relationships" r:embed="rId10"/>
              <a:stretch>
                <a:fillRect/>
              </a:stretch>
            </a:blipFill>
            <a:ln>
              <a:noFill/>
            </a:ln>
            <a:effectLst/>
          </c:spPr>
          <c:invertIfNegative val="0"/>
          <c:cat>
            <c:strRef>
              <c:f>Backend_P2!$Q$3</c:f>
              <c:strCache>
                <c:ptCount val="1"/>
                <c:pt idx="0">
                  <c:v>Vis</c:v>
                </c:pt>
              </c:strCache>
            </c:strRef>
          </c:cat>
          <c:val>
            <c:numRef>
              <c:f>Backend_P2!$Q$11</c:f>
              <c:numCache>
                <c:formatCode>General</c:formatCode>
                <c:ptCount val="1"/>
                <c:pt idx="0">
                  <c:v>#N/A</c:v>
                </c:pt>
              </c:numCache>
            </c:numRef>
          </c:val>
          <c:extLst>
            <c:ext xmlns:c16="http://schemas.microsoft.com/office/drawing/2014/chart" uri="{C3380CC4-5D6E-409C-BE32-E72D297353CC}">
              <c16:uniqueId val="{00000007-5891-4B99-A576-781F8F79E993}"/>
            </c:ext>
          </c:extLst>
        </c:ser>
        <c:ser>
          <c:idx val="8"/>
          <c:order val="8"/>
          <c:spPr>
            <a:blipFill>
              <a:blip xmlns:r="http://schemas.openxmlformats.org/officeDocument/2006/relationships" r:embed="rId11"/>
              <a:stretch>
                <a:fillRect/>
              </a:stretch>
            </a:blipFill>
            <a:ln>
              <a:noFill/>
            </a:ln>
            <a:effectLst/>
          </c:spPr>
          <c:invertIfNegative val="0"/>
          <c:cat>
            <c:strRef>
              <c:f>Backend_P2!$Q$3</c:f>
              <c:strCache>
                <c:ptCount val="1"/>
                <c:pt idx="0">
                  <c:v>Vis</c:v>
                </c:pt>
              </c:strCache>
            </c:strRef>
          </c:cat>
          <c:val>
            <c:numRef>
              <c:f>Backend_P2!$Q$12</c:f>
              <c:numCache>
                <c:formatCode>General</c:formatCode>
                <c:ptCount val="1"/>
                <c:pt idx="0">
                  <c:v>#N/A</c:v>
                </c:pt>
              </c:numCache>
            </c:numRef>
          </c:val>
          <c:extLst>
            <c:ext xmlns:c16="http://schemas.microsoft.com/office/drawing/2014/chart" uri="{C3380CC4-5D6E-409C-BE32-E72D297353CC}">
              <c16:uniqueId val="{00000008-5891-4B99-A576-781F8F79E993}"/>
            </c:ext>
          </c:extLst>
        </c:ser>
        <c:ser>
          <c:idx val="9"/>
          <c:order val="9"/>
          <c:spPr>
            <a:blipFill>
              <a:blip xmlns:r="http://schemas.openxmlformats.org/officeDocument/2006/relationships" r:embed="rId12"/>
              <a:stretch>
                <a:fillRect/>
              </a:stretch>
            </a:blipFill>
            <a:ln>
              <a:noFill/>
            </a:ln>
            <a:effectLst/>
          </c:spPr>
          <c:invertIfNegative val="0"/>
          <c:cat>
            <c:strRef>
              <c:f>Backend_P2!$Q$3</c:f>
              <c:strCache>
                <c:ptCount val="1"/>
                <c:pt idx="0">
                  <c:v>Vis</c:v>
                </c:pt>
              </c:strCache>
            </c:strRef>
          </c:cat>
          <c:val>
            <c:numRef>
              <c:f>Backend_P2!$Q$13</c:f>
              <c:numCache>
                <c:formatCode>General</c:formatCode>
                <c:ptCount val="1"/>
                <c:pt idx="0">
                  <c:v>#N/A</c:v>
                </c:pt>
              </c:numCache>
            </c:numRef>
          </c:val>
          <c:extLst>
            <c:ext xmlns:c16="http://schemas.microsoft.com/office/drawing/2014/chart" uri="{C3380CC4-5D6E-409C-BE32-E72D297353CC}">
              <c16:uniqueId val="{00000009-5891-4B99-A576-781F8F79E993}"/>
            </c:ext>
          </c:extLst>
        </c:ser>
        <c:ser>
          <c:idx val="10"/>
          <c:order val="10"/>
          <c:spPr>
            <a:blipFill>
              <a:blip xmlns:r="http://schemas.openxmlformats.org/officeDocument/2006/relationships" r:embed="rId13"/>
              <a:stretch>
                <a:fillRect/>
              </a:stretch>
            </a:blipFill>
            <a:ln>
              <a:noFill/>
            </a:ln>
            <a:effectLst/>
          </c:spPr>
          <c:invertIfNegative val="0"/>
          <c:cat>
            <c:strRef>
              <c:f>Backend_P2!$Q$3</c:f>
              <c:strCache>
                <c:ptCount val="1"/>
                <c:pt idx="0">
                  <c:v>Vis</c:v>
                </c:pt>
              </c:strCache>
            </c:strRef>
          </c:cat>
          <c:val>
            <c:numRef>
              <c:f>Backend_P2!$Q$14</c:f>
              <c:numCache>
                <c:formatCode>General</c:formatCode>
                <c:ptCount val="1"/>
                <c:pt idx="0">
                  <c:v>#N/A</c:v>
                </c:pt>
              </c:numCache>
            </c:numRef>
          </c:val>
          <c:extLst>
            <c:ext xmlns:c16="http://schemas.microsoft.com/office/drawing/2014/chart" uri="{C3380CC4-5D6E-409C-BE32-E72D297353CC}">
              <c16:uniqueId val="{0000000A-5891-4B99-A576-781F8F79E993}"/>
            </c:ext>
          </c:extLst>
        </c:ser>
        <c:dLbls>
          <c:showLegendKey val="0"/>
          <c:showVal val="0"/>
          <c:showCatName val="0"/>
          <c:showSerName val="0"/>
          <c:showPercent val="0"/>
          <c:showBubbleSize val="0"/>
        </c:dLbls>
        <c:gapWidth val="0"/>
        <c:overlap val="100"/>
        <c:axId val="408273407"/>
        <c:axId val="408274655"/>
      </c:barChart>
      <c:catAx>
        <c:axId val="408273407"/>
        <c:scaling>
          <c:orientation val="minMax"/>
        </c:scaling>
        <c:delete val="1"/>
        <c:axPos val="b"/>
        <c:numFmt formatCode="General" sourceLinked="1"/>
        <c:majorTickMark val="none"/>
        <c:minorTickMark val="none"/>
        <c:tickLblPos val="nextTo"/>
        <c:crossAx val="408274655"/>
        <c:crosses val="autoZero"/>
        <c:auto val="1"/>
        <c:lblAlgn val="ctr"/>
        <c:lblOffset val="100"/>
        <c:noMultiLvlLbl val="0"/>
      </c:catAx>
      <c:valAx>
        <c:axId val="408274655"/>
        <c:scaling>
          <c:orientation val="minMax"/>
          <c:max val="1"/>
          <c:min val="0"/>
        </c:scaling>
        <c:delete val="0"/>
        <c:axPos val="l"/>
        <c:majorGridlines>
          <c:spPr>
            <a:ln w="9525" cap="flat" cmpd="sng" algn="ctr">
              <a:noFill/>
              <a:round/>
            </a:ln>
            <a:effectLst/>
          </c:spPr>
        </c:majorGridlines>
        <c:numFmt formatCode="General" sourceLinked="1"/>
        <c:majorTickMark val="none"/>
        <c:minorTickMark val="none"/>
        <c:tickLblPos val="none"/>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0827340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
          <c:y val="0"/>
          <c:w val="1"/>
          <c:h val="1"/>
        </c:manualLayout>
      </c:layout>
      <c:barChart>
        <c:barDir val="col"/>
        <c:grouping val="stacked"/>
        <c:varyColors val="0"/>
        <c:ser>
          <c:idx val="0"/>
          <c:order val="0"/>
          <c:spPr>
            <a:blipFill>
              <a:blip xmlns:r="http://schemas.openxmlformats.org/officeDocument/2006/relationships" r:embed="rId3"/>
              <a:stretch>
                <a:fillRect/>
              </a:stretch>
            </a:blipFill>
            <a:ln>
              <a:noFill/>
            </a:ln>
            <a:effectLst/>
          </c:spPr>
          <c:invertIfNegative val="0"/>
          <c:cat>
            <c:strRef>
              <c:f>Backend_P2!$Q$3</c:f>
              <c:strCache>
                <c:ptCount val="1"/>
                <c:pt idx="0">
                  <c:v>Vis</c:v>
                </c:pt>
              </c:strCache>
            </c:strRef>
          </c:cat>
          <c:val>
            <c:numRef>
              <c:f>Backend_P2!$Q$4</c:f>
              <c:numCache>
                <c:formatCode>General</c:formatCode>
                <c:ptCount val="1"/>
                <c:pt idx="0">
                  <c:v>1</c:v>
                </c:pt>
              </c:numCache>
            </c:numRef>
          </c:val>
          <c:extLst>
            <c:ext xmlns:c16="http://schemas.microsoft.com/office/drawing/2014/chart" uri="{C3380CC4-5D6E-409C-BE32-E72D297353CC}">
              <c16:uniqueId val="{00000000-D890-4A2F-8FE0-4E8D88558149}"/>
            </c:ext>
          </c:extLst>
        </c:ser>
        <c:ser>
          <c:idx val="1"/>
          <c:order val="1"/>
          <c:spPr>
            <a:blipFill>
              <a:blip xmlns:r="http://schemas.openxmlformats.org/officeDocument/2006/relationships" r:embed="rId4"/>
              <a:stretch>
                <a:fillRect/>
              </a:stretch>
            </a:blipFill>
            <a:ln>
              <a:noFill/>
            </a:ln>
            <a:effectLst/>
          </c:spPr>
          <c:invertIfNegative val="0"/>
          <c:cat>
            <c:strRef>
              <c:f>Backend_P2!$Q$3</c:f>
              <c:strCache>
                <c:ptCount val="1"/>
                <c:pt idx="0">
                  <c:v>Vis</c:v>
                </c:pt>
              </c:strCache>
            </c:strRef>
          </c:cat>
          <c:val>
            <c:numRef>
              <c:f>Backend_P2!$Q$5</c:f>
              <c:numCache>
                <c:formatCode>General</c:formatCode>
                <c:ptCount val="1"/>
                <c:pt idx="0">
                  <c:v>#N/A</c:v>
                </c:pt>
              </c:numCache>
            </c:numRef>
          </c:val>
          <c:extLst>
            <c:ext xmlns:c16="http://schemas.microsoft.com/office/drawing/2014/chart" uri="{C3380CC4-5D6E-409C-BE32-E72D297353CC}">
              <c16:uniqueId val="{00000001-D890-4A2F-8FE0-4E8D88558149}"/>
            </c:ext>
          </c:extLst>
        </c:ser>
        <c:ser>
          <c:idx val="2"/>
          <c:order val="2"/>
          <c:spPr>
            <a:blipFill>
              <a:blip xmlns:r="http://schemas.openxmlformats.org/officeDocument/2006/relationships" r:embed="rId5"/>
              <a:stretch>
                <a:fillRect/>
              </a:stretch>
            </a:blipFill>
            <a:ln>
              <a:noFill/>
            </a:ln>
            <a:effectLst/>
          </c:spPr>
          <c:invertIfNegative val="0"/>
          <c:cat>
            <c:strRef>
              <c:f>Backend_P2!$Q$3</c:f>
              <c:strCache>
                <c:ptCount val="1"/>
                <c:pt idx="0">
                  <c:v>Vis</c:v>
                </c:pt>
              </c:strCache>
            </c:strRef>
          </c:cat>
          <c:val>
            <c:numRef>
              <c:f>Backend_P2!$Q$6</c:f>
              <c:numCache>
                <c:formatCode>General</c:formatCode>
                <c:ptCount val="1"/>
                <c:pt idx="0">
                  <c:v>#N/A</c:v>
                </c:pt>
              </c:numCache>
            </c:numRef>
          </c:val>
          <c:extLst>
            <c:ext xmlns:c16="http://schemas.microsoft.com/office/drawing/2014/chart" uri="{C3380CC4-5D6E-409C-BE32-E72D297353CC}">
              <c16:uniqueId val="{00000002-D890-4A2F-8FE0-4E8D88558149}"/>
            </c:ext>
          </c:extLst>
        </c:ser>
        <c:ser>
          <c:idx val="3"/>
          <c:order val="3"/>
          <c:spPr>
            <a:blipFill>
              <a:blip xmlns:r="http://schemas.openxmlformats.org/officeDocument/2006/relationships" r:embed="rId6"/>
              <a:stretch>
                <a:fillRect/>
              </a:stretch>
            </a:blipFill>
            <a:ln>
              <a:noFill/>
            </a:ln>
            <a:effectLst/>
          </c:spPr>
          <c:invertIfNegative val="0"/>
          <c:cat>
            <c:strRef>
              <c:f>Backend_P2!$Q$3</c:f>
              <c:strCache>
                <c:ptCount val="1"/>
                <c:pt idx="0">
                  <c:v>Vis</c:v>
                </c:pt>
              </c:strCache>
            </c:strRef>
          </c:cat>
          <c:val>
            <c:numRef>
              <c:f>Backend_P2!$Q$7</c:f>
              <c:numCache>
                <c:formatCode>General</c:formatCode>
                <c:ptCount val="1"/>
                <c:pt idx="0">
                  <c:v>#N/A</c:v>
                </c:pt>
              </c:numCache>
            </c:numRef>
          </c:val>
          <c:extLst>
            <c:ext xmlns:c16="http://schemas.microsoft.com/office/drawing/2014/chart" uri="{C3380CC4-5D6E-409C-BE32-E72D297353CC}">
              <c16:uniqueId val="{00000003-D890-4A2F-8FE0-4E8D88558149}"/>
            </c:ext>
          </c:extLst>
        </c:ser>
        <c:ser>
          <c:idx val="4"/>
          <c:order val="4"/>
          <c:spPr>
            <a:blipFill>
              <a:blip xmlns:r="http://schemas.openxmlformats.org/officeDocument/2006/relationships" r:embed="rId7"/>
              <a:stretch>
                <a:fillRect/>
              </a:stretch>
            </a:blipFill>
            <a:ln>
              <a:noFill/>
            </a:ln>
            <a:effectLst/>
          </c:spPr>
          <c:invertIfNegative val="0"/>
          <c:cat>
            <c:strRef>
              <c:f>Backend_P2!$Q$3</c:f>
              <c:strCache>
                <c:ptCount val="1"/>
                <c:pt idx="0">
                  <c:v>Vis</c:v>
                </c:pt>
              </c:strCache>
            </c:strRef>
          </c:cat>
          <c:val>
            <c:numRef>
              <c:f>Backend_P2!$Q$8</c:f>
              <c:numCache>
                <c:formatCode>General</c:formatCode>
                <c:ptCount val="1"/>
                <c:pt idx="0">
                  <c:v>#N/A</c:v>
                </c:pt>
              </c:numCache>
            </c:numRef>
          </c:val>
          <c:extLst>
            <c:ext xmlns:c16="http://schemas.microsoft.com/office/drawing/2014/chart" uri="{C3380CC4-5D6E-409C-BE32-E72D297353CC}">
              <c16:uniqueId val="{00000004-D890-4A2F-8FE0-4E8D88558149}"/>
            </c:ext>
          </c:extLst>
        </c:ser>
        <c:ser>
          <c:idx val="5"/>
          <c:order val="5"/>
          <c:spPr>
            <a:blipFill>
              <a:blip xmlns:r="http://schemas.openxmlformats.org/officeDocument/2006/relationships" r:embed="rId8"/>
              <a:stretch>
                <a:fillRect/>
              </a:stretch>
            </a:blipFill>
            <a:ln>
              <a:noFill/>
            </a:ln>
            <a:effectLst/>
          </c:spPr>
          <c:invertIfNegative val="0"/>
          <c:cat>
            <c:strRef>
              <c:f>Backend_P2!$Q$3</c:f>
              <c:strCache>
                <c:ptCount val="1"/>
                <c:pt idx="0">
                  <c:v>Vis</c:v>
                </c:pt>
              </c:strCache>
            </c:strRef>
          </c:cat>
          <c:val>
            <c:numRef>
              <c:f>Backend_P2!$Q$9</c:f>
              <c:numCache>
                <c:formatCode>General</c:formatCode>
                <c:ptCount val="1"/>
                <c:pt idx="0">
                  <c:v>#N/A</c:v>
                </c:pt>
              </c:numCache>
            </c:numRef>
          </c:val>
          <c:extLst>
            <c:ext xmlns:c16="http://schemas.microsoft.com/office/drawing/2014/chart" uri="{C3380CC4-5D6E-409C-BE32-E72D297353CC}">
              <c16:uniqueId val="{00000005-D890-4A2F-8FE0-4E8D88558149}"/>
            </c:ext>
          </c:extLst>
        </c:ser>
        <c:ser>
          <c:idx val="6"/>
          <c:order val="6"/>
          <c:spPr>
            <a:blipFill>
              <a:blip xmlns:r="http://schemas.openxmlformats.org/officeDocument/2006/relationships" r:embed="rId9"/>
              <a:stretch>
                <a:fillRect/>
              </a:stretch>
            </a:blipFill>
            <a:ln>
              <a:noFill/>
            </a:ln>
            <a:effectLst/>
          </c:spPr>
          <c:invertIfNegative val="0"/>
          <c:cat>
            <c:strRef>
              <c:f>Backend_P2!$Q$3</c:f>
              <c:strCache>
                <c:ptCount val="1"/>
                <c:pt idx="0">
                  <c:v>Vis</c:v>
                </c:pt>
              </c:strCache>
            </c:strRef>
          </c:cat>
          <c:val>
            <c:numRef>
              <c:f>Backend_P2!$Q$10</c:f>
              <c:numCache>
                <c:formatCode>General</c:formatCode>
                <c:ptCount val="1"/>
                <c:pt idx="0">
                  <c:v>#N/A</c:v>
                </c:pt>
              </c:numCache>
            </c:numRef>
          </c:val>
          <c:extLst>
            <c:ext xmlns:c16="http://schemas.microsoft.com/office/drawing/2014/chart" uri="{C3380CC4-5D6E-409C-BE32-E72D297353CC}">
              <c16:uniqueId val="{00000006-D890-4A2F-8FE0-4E8D88558149}"/>
            </c:ext>
          </c:extLst>
        </c:ser>
        <c:ser>
          <c:idx val="7"/>
          <c:order val="7"/>
          <c:spPr>
            <a:blipFill>
              <a:blip xmlns:r="http://schemas.openxmlformats.org/officeDocument/2006/relationships" r:embed="rId10"/>
              <a:stretch>
                <a:fillRect/>
              </a:stretch>
            </a:blipFill>
            <a:ln>
              <a:noFill/>
            </a:ln>
            <a:effectLst/>
          </c:spPr>
          <c:invertIfNegative val="0"/>
          <c:cat>
            <c:strRef>
              <c:f>Backend_P2!$Q$3</c:f>
              <c:strCache>
                <c:ptCount val="1"/>
                <c:pt idx="0">
                  <c:v>Vis</c:v>
                </c:pt>
              </c:strCache>
            </c:strRef>
          </c:cat>
          <c:val>
            <c:numRef>
              <c:f>Backend_P2!$Q$11</c:f>
              <c:numCache>
                <c:formatCode>General</c:formatCode>
                <c:ptCount val="1"/>
                <c:pt idx="0">
                  <c:v>#N/A</c:v>
                </c:pt>
              </c:numCache>
            </c:numRef>
          </c:val>
          <c:extLst>
            <c:ext xmlns:c16="http://schemas.microsoft.com/office/drawing/2014/chart" uri="{C3380CC4-5D6E-409C-BE32-E72D297353CC}">
              <c16:uniqueId val="{00000007-D890-4A2F-8FE0-4E8D88558149}"/>
            </c:ext>
          </c:extLst>
        </c:ser>
        <c:ser>
          <c:idx val="8"/>
          <c:order val="8"/>
          <c:spPr>
            <a:blipFill>
              <a:blip xmlns:r="http://schemas.openxmlformats.org/officeDocument/2006/relationships" r:embed="rId11"/>
              <a:stretch>
                <a:fillRect/>
              </a:stretch>
            </a:blipFill>
            <a:ln>
              <a:noFill/>
            </a:ln>
            <a:effectLst/>
          </c:spPr>
          <c:invertIfNegative val="0"/>
          <c:cat>
            <c:strRef>
              <c:f>Backend_P2!$Q$3</c:f>
              <c:strCache>
                <c:ptCount val="1"/>
                <c:pt idx="0">
                  <c:v>Vis</c:v>
                </c:pt>
              </c:strCache>
            </c:strRef>
          </c:cat>
          <c:val>
            <c:numRef>
              <c:f>Backend_P2!$Q$12</c:f>
              <c:numCache>
                <c:formatCode>General</c:formatCode>
                <c:ptCount val="1"/>
                <c:pt idx="0">
                  <c:v>#N/A</c:v>
                </c:pt>
              </c:numCache>
            </c:numRef>
          </c:val>
          <c:extLst>
            <c:ext xmlns:c16="http://schemas.microsoft.com/office/drawing/2014/chart" uri="{C3380CC4-5D6E-409C-BE32-E72D297353CC}">
              <c16:uniqueId val="{00000008-D890-4A2F-8FE0-4E8D88558149}"/>
            </c:ext>
          </c:extLst>
        </c:ser>
        <c:ser>
          <c:idx val="9"/>
          <c:order val="9"/>
          <c:spPr>
            <a:blipFill>
              <a:blip xmlns:r="http://schemas.openxmlformats.org/officeDocument/2006/relationships" r:embed="rId12"/>
              <a:stretch>
                <a:fillRect/>
              </a:stretch>
            </a:blipFill>
            <a:ln>
              <a:noFill/>
            </a:ln>
            <a:effectLst/>
          </c:spPr>
          <c:invertIfNegative val="0"/>
          <c:cat>
            <c:strRef>
              <c:f>Backend_P2!$Q$3</c:f>
              <c:strCache>
                <c:ptCount val="1"/>
                <c:pt idx="0">
                  <c:v>Vis</c:v>
                </c:pt>
              </c:strCache>
            </c:strRef>
          </c:cat>
          <c:val>
            <c:numRef>
              <c:f>Backend_P2!$Q$13</c:f>
              <c:numCache>
                <c:formatCode>General</c:formatCode>
                <c:ptCount val="1"/>
                <c:pt idx="0">
                  <c:v>#N/A</c:v>
                </c:pt>
              </c:numCache>
            </c:numRef>
          </c:val>
          <c:extLst>
            <c:ext xmlns:c16="http://schemas.microsoft.com/office/drawing/2014/chart" uri="{C3380CC4-5D6E-409C-BE32-E72D297353CC}">
              <c16:uniqueId val="{00000009-D890-4A2F-8FE0-4E8D88558149}"/>
            </c:ext>
          </c:extLst>
        </c:ser>
        <c:ser>
          <c:idx val="10"/>
          <c:order val="10"/>
          <c:spPr>
            <a:blipFill>
              <a:blip xmlns:r="http://schemas.openxmlformats.org/officeDocument/2006/relationships" r:embed="rId13"/>
              <a:stretch>
                <a:fillRect/>
              </a:stretch>
            </a:blipFill>
            <a:ln>
              <a:noFill/>
            </a:ln>
            <a:effectLst/>
          </c:spPr>
          <c:invertIfNegative val="0"/>
          <c:cat>
            <c:strRef>
              <c:f>Backend_P2!$Q$3</c:f>
              <c:strCache>
                <c:ptCount val="1"/>
                <c:pt idx="0">
                  <c:v>Vis</c:v>
                </c:pt>
              </c:strCache>
            </c:strRef>
          </c:cat>
          <c:val>
            <c:numRef>
              <c:f>Backend_P2!$Q$14</c:f>
              <c:numCache>
                <c:formatCode>General</c:formatCode>
                <c:ptCount val="1"/>
                <c:pt idx="0">
                  <c:v>#N/A</c:v>
                </c:pt>
              </c:numCache>
            </c:numRef>
          </c:val>
          <c:extLst>
            <c:ext xmlns:c16="http://schemas.microsoft.com/office/drawing/2014/chart" uri="{C3380CC4-5D6E-409C-BE32-E72D297353CC}">
              <c16:uniqueId val="{0000000A-D890-4A2F-8FE0-4E8D88558149}"/>
            </c:ext>
          </c:extLst>
        </c:ser>
        <c:dLbls>
          <c:showLegendKey val="0"/>
          <c:showVal val="0"/>
          <c:showCatName val="0"/>
          <c:showSerName val="0"/>
          <c:showPercent val="0"/>
          <c:showBubbleSize val="0"/>
        </c:dLbls>
        <c:gapWidth val="0"/>
        <c:overlap val="100"/>
        <c:axId val="408273407"/>
        <c:axId val="408274655"/>
      </c:barChart>
      <c:catAx>
        <c:axId val="408273407"/>
        <c:scaling>
          <c:orientation val="minMax"/>
        </c:scaling>
        <c:delete val="1"/>
        <c:axPos val="b"/>
        <c:numFmt formatCode="General" sourceLinked="1"/>
        <c:majorTickMark val="none"/>
        <c:minorTickMark val="none"/>
        <c:tickLblPos val="nextTo"/>
        <c:crossAx val="408274655"/>
        <c:crosses val="autoZero"/>
        <c:auto val="1"/>
        <c:lblAlgn val="ctr"/>
        <c:lblOffset val="100"/>
        <c:noMultiLvlLbl val="0"/>
      </c:catAx>
      <c:valAx>
        <c:axId val="408274655"/>
        <c:scaling>
          <c:orientation val="minMax"/>
          <c:max val="1"/>
          <c:min val="0"/>
        </c:scaling>
        <c:delete val="0"/>
        <c:axPos val="l"/>
        <c:majorGridlines>
          <c:spPr>
            <a:ln w="9525" cap="flat" cmpd="sng" algn="ctr">
              <a:noFill/>
              <a:round/>
            </a:ln>
            <a:effectLst/>
          </c:spPr>
        </c:majorGridlines>
        <c:numFmt formatCode="General" sourceLinked="1"/>
        <c:majorTickMark val="none"/>
        <c:minorTickMark val="none"/>
        <c:tickLblPos val="none"/>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08273407"/>
        <c:crosses val="autoZero"/>
        <c:crossBetween val="between"/>
      </c:valAx>
      <c:spPr>
        <a:noFill/>
        <a:ln>
          <a:noFill/>
        </a:ln>
        <a:effectLst/>
      </c:spPr>
    </c:plotArea>
    <c:plotVisOnly val="1"/>
    <c:dispBlanksAs val="gap"/>
    <c:showDLblsOverMax val="0"/>
  </c:chart>
  <c:spPr>
    <a:noFill/>
    <a:ln w="9525" cap="flat" cmpd="sng" algn="ctr">
      <a:solidFill>
        <a:schemeClr val="bg2">
          <a:lumMod val="90000"/>
        </a:schemeClr>
      </a:solidFill>
      <a:round/>
    </a:ln>
    <a:effectLst/>
  </c:spPr>
  <c:txPr>
    <a:bodyPr/>
    <a:lstStyle/>
    <a:p>
      <a:pPr>
        <a:defRPr/>
      </a:pPr>
      <a:endParaRPr lang="en-US"/>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1.8968115096724021E-3"/>
          <c:y val="8.9797803052396249E-4"/>
          <c:w val="0.99810318849032764"/>
          <c:h val="0.99907245390622468"/>
        </c:manualLayout>
      </c:layout>
      <c:pieChart>
        <c:varyColors val="1"/>
        <c:ser>
          <c:idx val="0"/>
          <c:order val="0"/>
          <c:spPr>
            <a:solidFill>
              <a:schemeClr val="bg2">
                <a:alpha val="70000"/>
              </a:schemeClr>
            </a:solidFill>
            <a:ln w="6350"/>
          </c:spPr>
          <c:dPt>
            <c:idx val="0"/>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01-78D9-4256-AB4B-1729A4002269}"/>
              </c:ext>
            </c:extLst>
          </c:dPt>
          <c:dPt>
            <c:idx val="1"/>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03-78D9-4256-AB4B-1729A4002269}"/>
              </c:ext>
            </c:extLst>
          </c:dPt>
          <c:dPt>
            <c:idx val="2"/>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05-78D9-4256-AB4B-1729A4002269}"/>
              </c:ext>
            </c:extLst>
          </c:dPt>
          <c:dPt>
            <c:idx val="3"/>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07-78D9-4256-AB4B-1729A4002269}"/>
              </c:ext>
            </c:extLst>
          </c:dPt>
          <c:dPt>
            <c:idx val="4"/>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09-78D9-4256-AB4B-1729A4002269}"/>
              </c:ext>
            </c:extLst>
          </c:dPt>
          <c:dPt>
            <c:idx val="5"/>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0B-78D9-4256-AB4B-1729A4002269}"/>
              </c:ext>
            </c:extLst>
          </c:dPt>
          <c:dPt>
            <c:idx val="6"/>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0D-78D9-4256-AB4B-1729A4002269}"/>
              </c:ext>
            </c:extLst>
          </c:dPt>
          <c:dPt>
            <c:idx val="7"/>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0F-78D9-4256-AB4B-1729A4002269}"/>
              </c:ext>
            </c:extLst>
          </c:dPt>
          <c:dPt>
            <c:idx val="8"/>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11-78D9-4256-AB4B-1729A4002269}"/>
              </c:ext>
            </c:extLst>
          </c:dPt>
          <c:dPt>
            <c:idx val="9"/>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13-78D9-4256-AB4B-1729A4002269}"/>
              </c:ext>
            </c:extLst>
          </c:dPt>
          <c:dPt>
            <c:idx val="10"/>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15-78D9-4256-AB4B-1729A4002269}"/>
              </c:ext>
            </c:extLst>
          </c:dPt>
          <c:dPt>
            <c:idx val="11"/>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17-78D9-4256-AB4B-1729A4002269}"/>
              </c:ext>
            </c:extLst>
          </c:dPt>
          <c:dPt>
            <c:idx val="12"/>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19-78D9-4256-AB4B-1729A4002269}"/>
              </c:ext>
            </c:extLst>
          </c:dPt>
          <c:dPt>
            <c:idx val="13"/>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1B-78D9-4256-AB4B-1729A4002269}"/>
              </c:ext>
            </c:extLst>
          </c:dPt>
          <c:dPt>
            <c:idx val="14"/>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1D-78D9-4256-AB4B-1729A4002269}"/>
              </c:ext>
            </c:extLst>
          </c:dPt>
          <c:dPt>
            <c:idx val="15"/>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1F-78D9-4256-AB4B-1729A4002269}"/>
              </c:ext>
            </c:extLst>
          </c:dPt>
          <c:dPt>
            <c:idx val="16"/>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21-78D9-4256-AB4B-1729A4002269}"/>
              </c:ext>
            </c:extLst>
          </c:dPt>
          <c:dPt>
            <c:idx val="17"/>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23-78D9-4256-AB4B-1729A4002269}"/>
              </c:ext>
            </c:extLst>
          </c:dPt>
          <c:dPt>
            <c:idx val="18"/>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25-78D9-4256-AB4B-1729A4002269}"/>
              </c:ext>
            </c:extLst>
          </c:dPt>
          <c:dPt>
            <c:idx val="19"/>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27-78D9-4256-AB4B-1729A4002269}"/>
              </c:ext>
            </c:extLst>
          </c:dPt>
          <c:dPt>
            <c:idx val="20"/>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29-78D9-4256-AB4B-1729A4002269}"/>
              </c:ext>
            </c:extLst>
          </c:dPt>
          <c:dPt>
            <c:idx val="21"/>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2B-78D9-4256-AB4B-1729A4002269}"/>
              </c:ext>
            </c:extLst>
          </c:dPt>
          <c:dPt>
            <c:idx val="22"/>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2D-78D9-4256-AB4B-1729A4002269}"/>
              </c:ext>
            </c:extLst>
          </c:dPt>
          <c:dPt>
            <c:idx val="23"/>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2F-78D9-4256-AB4B-1729A4002269}"/>
              </c:ext>
            </c:extLst>
          </c:dPt>
          <c:dPt>
            <c:idx val="24"/>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31-78D9-4256-AB4B-1729A4002269}"/>
              </c:ext>
            </c:extLst>
          </c:dPt>
          <c:dPt>
            <c:idx val="25"/>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33-78D9-4256-AB4B-1729A4002269}"/>
              </c:ext>
            </c:extLst>
          </c:dPt>
          <c:dPt>
            <c:idx val="26"/>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35-78D9-4256-AB4B-1729A4002269}"/>
              </c:ext>
            </c:extLst>
          </c:dPt>
          <c:dPt>
            <c:idx val="27"/>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37-78D9-4256-AB4B-1729A4002269}"/>
              </c:ext>
            </c:extLst>
          </c:dPt>
          <c:dPt>
            <c:idx val="28"/>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39-78D9-4256-AB4B-1729A4002269}"/>
              </c:ext>
            </c:extLst>
          </c:dPt>
          <c:dPt>
            <c:idx val="29"/>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3B-78D9-4256-AB4B-1729A4002269}"/>
              </c:ext>
            </c:extLst>
          </c:dPt>
          <c:dPt>
            <c:idx val="30"/>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3D-78D9-4256-AB4B-1729A4002269}"/>
              </c:ext>
            </c:extLst>
          </c:dPt>
          <c:dPt>
            <c:idx val="31"/>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3F-78D9-4256-AB4B-1729A4002269}"/>
              </c:ext>
            </c:extLst>
          </c:dPt>
          <c:dPt>
            <c:idx val="32"/>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41-78D9-4256-AB4B-1729A4002269}"/>
              </c:ext>
            </c:extLst>
          </c:dPt>
          <c:dPt>
            <c:idx val="33"/>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43-78D9-4256-AB4B-1729A4002269}"/>
              </c:ext>
            </c:extLst>
          </c:dPt>
          <c:val>
            <c:numRef>
              <c:f>Backend_Badge!$N$3:$N$36</c:f>
              <c:numCache>
                <c:formatCode>General</c:formatCode>
                <c:ptCount val="34"/>
                <c:pt idx="0">
                  <c:v>0</c:v>
                </c:pt>
                <c:pt idx="1">
                  <c:v>1</c:v>
                </c:pt>
                <c:pt idx="2">
                  <c:v>0</c:v>
                </c:pt>
                <c:pt idx="3">
                  <c:v>1</c:v>
                </c:pt>
                <c:pt idx="4">
                  <c:v>0</c:v>
                </c:pt>
                <c:pt idx="5">
                  <c:v>1</c:v>
                </c:pt>
                <c:pt idx="6">
                  <c:v>0</c:v>
                </c:pt>
                <c:pt idx="7">
                  <c:v>1</c:v>
                </c:pt>
                <c:pt idx="8">
                  <c:v>0</c:v>
                </c:pt>
                <c:pt idx="9">
                  <c:v>1</c:v>
                </c:pt>
                <c:pt idx="10">
                  <c:v>0</c:v>
                </c:pt>
                <c:pt idx="11">
                  <c:v>1</c:v>
                </c:pt>
                <c:pt idx="12">
                  <c:v>0</c:v>
                </c:pt>
                <c:pt idx="13">
                  <c:v>1</c:v>
                </c:pt>
                <c:pt idx="14">
                  <c:v>0</c:v>
                </c:pt>
                <c:pt idx="15">
                  <c:v>1</c:v>
                </c:pt>
                <c:pt idx="16">
                  <c:v>0</c:v>
                </c:pt>
                <c:pt idx="17">
                  <c:v>1</c:v>
                </c:pt>
                <c:pt idx="18">
                  <c:v>0</c:v>
                </c:pt>
                <c:pt idx="19">
                  <c:v>1</c:v>
                </c:pt>
                <c:pt idx="20">
                  <c:v>0</c:v>
                </c:pt>
                <c:pt idx="21">
                  <c:v>1</c:v>
                </c:pt>
                <c:pt idx="22">
                  <c:v>0</c:v>
                </c:pt>
                <c:pt idx="23">
                  <c:v>1</c:v>
                </c:pt>
                <c:pt idx="24">
                  <c:v>0</c:v>
                </c:pt>
                <c:pt idx="25">
                  <c:v>1</c:v>
                </c:pt>
                <c:pt idx="26">
                  <c:v>0</c:v>
                </c:pt>
                <c:pt idx="27">
                  <c:v>1</c:v>
                </c:pt>
                <c:pt idx="28">
                  <c:v>0</c:v>
                </c:pt>
                <c:pt idx="29">
                  <c:v>1</c:v>
                </c:pt>
                <c:pt idx="30">
                  <c:v>0</c:v>
                </c:pt>
                <c:pt idx="31">
                  <c:v>1</c:v>
                </c:pt>
                <c:pt idx="32">
                  <c:v>0</c:v>
                </c:pt>
                <c:pt idx="33">
                  <c:v>1</c:v>
                </c:pt>
              </c:numCache>
            </c:numRef>
          </c:val>
          <c:extLst>
            <c:ext xmlns:c16="http://schemas.microsoft.com/office/drawing/2014/chart" uri="{C3380CC4-5D6E-409C-BE32-E72D297353CC}">
              <c16:uniqueId val="{00000044-78D9-4256-AB4B-1729A4002269}"/>
            </c:ext>
          </c:extLst>
        </c:ser>
        <c:dLbls>
          <c:showLegendKey val="0"/>
          <c:showVal val="0"/>
          <c:showCatName val="0"/>
          <c:showSerName val="0"/>
          <c:showPercent val="0"/>
          <c:showBubbleSize val="0"/>
          <c:showLeaderLines val="1"/>
        </c:dLbls>
        <c:firstSliceAng val="0"/>
      </c:pieChart>
      <c:spPr>
        <a:blipFill>
          <a:blip xmlns:r="http://schemas.openxmlformats.org/officeDocument/2006/relationships" r:embed="rId3"/>
          <a:stretch>
            <a:fillRect/>
          </a:stretch>
        </a:blip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
          <c:y val="0"/>
          <c:w val="1"/>
          <c:h val="1"/>
        </c:manualLayout>
      </c:layout>
      <c:barChart>
        <c:barDir val="col"/>
        <c:grouping val="stacked"/>
        <c:varyColors val="0"/>
        <c:ser>
          <c:idx val="0"/>
          <c:order val="0"/>
          <c:spPr>
            <a:blipFill>
              <a:blip xmlns:r="http://schemas.openxmlformats.org/officeDocument/2006/relationships" r:embed="rId3"/>
              <a:stretch>
                <a:fillRect/>
              </a:stretch>
            </a:blipFill>
            <a:ln>
              <a:noFill/>
            </a:ln>
            <a:effectLst/>
          </c:spPr>
          <c:invertIfNegative val="0"/>
          <c:val>
            <c:numRef>
              <c:f>Backend_P3!$I$3</c:f>
              <c:numCache>
                <c:formatCode>General</c:formatCode>
                <c:ptCount val="1"/>
                <c:pt idx="0">
                  <c:v>#N/A</c:v>
                </c:pt>
              </c:numCache>
            </c:numRef>
          </c:val>
          <c:extLst>
            <c:ext xmlns:c16="http://schemas.microsoft.com/office/drawing/2014/chart" uri="{C3380CC4-5D6E-409C-BE32-E72D297353CC}">
              <c16:uniqueId val="{00000000-4E35-41DC-9818-EA0FF8DED347}"/>
            </c:ext>
          </c:extLst>
        </c:ser>
        <c:ser>
          <c:idx val="1"/>
          <c:order val="1"/>
          <c:spPr>
            <a:blipFill>
              <a:blip xmlns:r="http://schemas.openxmlformats.org/officeDocument/2006/relationships" r:embed="rId4"/>
              <a:stretch>
                <a:fillRect/>
              </a:stretch>
            </a:blipFill>
            <a:ln>
              <a:noFill/>
            </a:ln>
            <a:effectLst/>
          </c:spPr>
          <c:invertIfNegative val="0"/>
          <c:val>
            <c:numRef>
              <c:f>Backend_P3!$I$4</c:f>
              <c:numCache>
                <c:formatCode>General</c:formatCode>
                <c:ptCount val="1"/>
                <c:pt idx="0">
                  <c:v>#N/A</c:v>
                </c:pt>
              </c:numCache>
            </c:numRef>
          </c:val>
          <c:extLst>
            <c:ext xmlns:c16="http://schemas.microsoft.com/office/drawing/2014/chart" uri="{C3380CC4-5D6E-409C-BE32-E72D297353CC}">
              <c16:uniqueId val="{00000001-4E35-41DC-9818-EA0FF8DED347}"/>
            </c:ext>
          </c:extLst>
        </c:ser>
        <c:ser>
          <c:idx val="2"/>
          <c:order val="2"/>
          <c:spPr>
            <a:blipFill>
              <a:blip xmlns:r="http://schemas.openxmlformats.org/officeDocument/2006/relationships" r:embed="rId5"/>
              <a:stretch>
                <a:fillRect/>
              </a:stretch>
            </a:blipFill>
            <a:ln>
              <a:noFill/>
            </a:ln>
            <a:effectLst/>
          </c:spPr>
          <c:invertIfNegative val="0"/>
          <c:val>
            <c:numRef>
              <c:f>Backend_P3!$I$5</c:f>
              <c:numCache>
                <c:formatCode>General</c:formatCode>
                <c:ptCount val="1"/>
                <c:pt idx="0">
                  <c:v>#N/A</c:v>
                </c:pt>
              </c:numCache>
            </c:numRef>
          </c:val>
          <c:extLst>
            <c:ext xmlns:c16="http://schemas.microsoft.com/office/drawing/2014/chart" uri="{C3380CC4-5D6E-409C-BE32-E72D297353CC}">
              <c16:uniqueId val="{00000002-4E35-41DC-9818-EA0FF8DED347}"/>
            </c:ext>
          </c:extLst>
        </c:ser>
        <c:ser>
          <c:idx val="3"/>
          <c:order val="3"/>
          <c:spPr>
            <a:blipFill>
              <a:blip xmlns:r="http://schemas.openxmlformats.org/officeDocument/2006/relationships" r:embed="rId6"/>
              <a:stretch>
                <a:fillRect/>
              </a:stretch>
            </a:blipFill>
            <a:ln>
              <a:noFill/>
            </a:ln>
            <a:effectLst/>
          </c:spPr>
          <c:invertIfNegative val="0"/>
          <c:val>
            <c:numRef>
              <c:f>Backend_P3!$I$6</c:f>
              <c:numCache>
                <c:formatCode>General</c:formatCode>
                <c:ptCount val="1"/>
                <c:pt idx="0">
                  <c:v>#N/A</c:v>
                </c:pt>
              </c:numCache>
            </c:numRef>
          </c:val>
          <c:extLst>
            <c:ext xmlns:c16="http://schemas.microsoft.com/office/drawing/2014/chart" uri="{C3380CC4-5D6E-409C-BE32-E72D297353CC}">
              <c16:uniqueId val="{00000003-4E35-41DC-9818-EA0FF8DED347}"/>
            </c:ext>
          </c:extLst>
        </c:ser>
        <c:ser>
          <c:idx val="4"/>
          <c:order val="4"/>
          <c:spPr>
            <a:blipFill>
              <a:blip xmlns:r="http://schemas.openxmlformats.org/officeDocument/2006/relationships" r:embed="rId7"/>
              <a:stretch>
                <a:fillRect/>
              </a:stretch>
            </a:blipFill>
            <a:ln>
              <a:noFill/>
            </a:ln>
            <a:effectLst/>
          </c:spPr>
          <c:invertIfNegative val="0"/>
          <c:val>
            <c:numRef>
              <c:f>Backend_P3!$I$7</c:f>
              <c:numCache>
                <c:formatCode>General</c:formatCode>
                <c:ptCount val="1"/>
                <c:pt idx="0">
                  <c:v>1</c:v>
                </c:pt>
              </c:numCache>
            </c:numRef>
          </c:val>
          <c:extLst>
            <c:ext xmlns:c16="http://schemas.microsoft.com/office/drawing/2014/chart" uri="{C3380CC4-5D6E-409C-BE32-E72D297353CC}">
              <c16:uniqueId val="{00000004-4E35-41DC-9818-EA0FF8DED347}"/>
            </c:ext>
          </c:extLst>
        </c:ser>
        <c:dLbls>
          <c:showLegendKey val="0"/>
          <c:showVal val="0"/>
          <c:showCatName val="0"/>
          <c:showSerName val="0"/>
          <c:showPercent val="0"/>
          <c:showBubbleSize val="0"/>
        </c:dLbls>
        <c:gapWidth val="0"/>
        <c:overlap val="100"/>
        <c:axId val="408273407"/>
        <c:axId val="408274655"/>
      </c:barChart>
      <c:catAx>
        <c:axId val="408273407"/>
        <c:scaling>
          <c:orientation val="minMax"/>
        </c:scaling>
        <c:delete val="1"/>
        <c:axPos val="b"/>
        <c:numFmt formatCode="General" sourceLinked="1"/>
        <c:majorTickMark val="none"/>
        <c:minorTickMark val="none"/>
        <c:tickLblPos val="nextTo"/>
        <c:crossAx val="408274655"/>
        <c:crosses val="autoZero"/>
        <c:auto val="1"/>
        <c:lblAlgn val="ctr"/>
        <c:lblOffset val="100"/>
        <c:noMultiLvlLbl val="0"/>
      </c:catAx>
      <c:valAx>
        <c:axId val="408274655"/>
        <c:scaling>
          <c:orientation val="minMax"/>
          <c:max val="1"/>
          <c:min val="0"/>
        </c:scaling>
        <c:delete val="0"/>
        <c:axPos val="l"/>
        <c:majorGridlines>
          <c:spPr>
            <a:ln w="9525" cap="flat" cmpd="sng" algn="ctr">
              <a:noFill/>
              <a:round/>
            </a:ln>
            <a:effectLst/>
          </c:spPr>
        </c:majorGridlines>
        <c:numFmt formatCode="General" sourceLinked="1"/>
        <c:majorTickMark val="none"/>
        <c:minorTickMark val="none"/>
        <c:tickLblPos val="none"/>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0827340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
          <c:y val="0"/>
          <c:w val="1"/>
          <c:h val="1"/>
        </c:manualLayout>
      </c:layout>
      <c:barChart>
        <c:barDir val="col"/>
        <c:grouping val="stacked"/>
        <c:varyColors val="0"/>
        <c:ser>
          <c:idx val="0"/>
          <c:order val="0"/>
          <c:spPr>
            <a:blipFill>
              <a:blip xmlns:r="http://schemas.openxmlformats.org/officeDocument/2006/relationships" r:embed="rId3"/>
              <a:stretch>
                <a:fillRect/>
              </a:stretch>
            </a:blipFill>
            <a:ln>
              <a:noFill/>
            </a:ln>
            <a:effectLst/>
          </c:spPr>
          <c:invertIfNegative val="0"/>
          <c:val>
            <c:numRef>
              <c:f>Backend_P3!$I$3</c:f>
              <c:numCache>
                <c:formatCode>General</c:formatCode>
                <c:ptCount val="1"/>
                <c:pt idx="0">
                  <c:v>#N/A</c:v>
                </c:pt>
              </c:numCache>
            </c:numRef>
          </c:val>
          <c:extLst>
            <c:ext xmlns:c16="http://schemas.microsoft.com/office/drawing/2014/chart" uri="{C3380CC4-5D6E-409C-BE32-E72D297353CC}">
              <c16:uniqueId val="{00000000-3198-4C74-AB83-13E69AB33914}"/>
            </c:ext>
          </c:extLst>
        </c:ser>
        <c:ser>
          <c:idx val="1"/>
          <c:order val="1"/>
          <c:spPr>
            <a:blipFill>
              <a:blip xmlns:r="http://schemas.openxmlformats.org/officeDocument/2006/relationships" r:embed="rId4"/>
              <a:stretch>
                <a:fillRect/>
              </a:stretch>
            </a:blipFill>
            <a:ln>
              <a:noFill/>
            </a:ln>
            <a:effectLst/>
          </c:spPr>
          <c:invertIfNegative val="0"/>
          <c:val>
            <c:numRef>
              <c:f>Backend_P3!$I$4</c:f>
              <c:numCache>
                <c:formatCode>General</c:formatCode>
                <c:ptCount val="1"/>
                <c:pt idx="0">
                  <c:v>#N/A</c:v>
                </c:pt>
              </c:numCache>
            </c:numRef>
          </c:val>
          <c:extLst>
            <c:ext xmlns:c16="http://schemas.microsoft.com/office/drawing/2014/chart" uri="{C3380CC4-5D6E-409C-BE32-E72D297353CC}">
              <c16:uniqueId val="{00000001-3198-4C74-AB83-13E69AB33914}"/>
            </c:ext>
          </c:extLst>
        </c:ser>
        <c:ser>
          <c:idx val="2"/>
          <c:order val="2"/>
          <c:spPr>
            <a:blipFill>
              <a:blip xmlns:r="http://schemas.openxmlformats.org/officeDocument/2006/relationships" r:embed="rId5"/>
              <a:stretch>
                <a:fillRect/>
              </a:stretch>
            </a:blipFill>
            <a:ln>
              <a:noFill/>
            </a:ln>
            <a:effectLst/>
          </c:spPr>
          <c:invertIfNegative val="0"/>
          <c:val>
            <c:numRef>
              <c:f>Backend_P3!$I$5</c:f>
              <c:numCache>
                <c:formatCode>General</c:formatCode>
                <c:ptCount val="1"/>
                <c:pt idx="0">
                  <c:v>#N/A</c:v>
                </c:pt>
              </c:numCache>
            </c:numRef>
          </c:val>
          <c:extLst>
            <c:ext xmlns:c16="http://schemas.microsoft.com/office/drawing/2014/chart" uri="{C3380CC4-5D6E-409C-BE32-E72D297353CC}">
              <c16:uniqueId val="{00000002-3198-4C74-AB83-13E69AB33914}"/>
            </c:ext>
          </c:extLst>
        </c:ser>
        <c:ser>
          <c:idx val="3"/>
          <c:order val="3"/>
          <c:spPr>
            <a:blipFill>
              <a:blip xmlns:r="http://schemas.openxmlformats.org/officeDocument/2006/relationships" r:embed="rId6"/>
              <a:stretch>
                <a:fillRect/>
              </a:stretch>
            </a:blipFill>
            <a:ln>
              <a:noFill/>
            </a:ln>
            <a:effectLst/>
          </c:spPr>
          <c:invertIfNegative val="0"/>
          <c:val>
            <c:numRef>
              <c:f>Backend_P3!$I$6</c:f>
              <c:numCache>
                <c:formatCode>General</c:formatCode>
                <c:ptCount val="1"/>
                <c:pt idx="0">
                  <c:v>#N/A</c:v>
                </c:pt>
              </c:numCache>
            </c:numRef>
          </c:val>
          <c:extLst>
            <c:ext xmlns:c16="http://schemas.microsoft.com/office/drawing/2014/chart" uri="{C3380CC4-5D6E-409C-BE32-E72D297353CC}">
              <c16:uniqueId val="{00000003-3198-4C74-AB83-13E69AB33914}"/>
            </c:ext>
          </c:extLst>
        </c:ser>
        <c:ser>
          <c:idx val="4"/>
          <c:order val="4"/>
          <c:spPr>
            <a:blipFill>
              <a:blip xmlns:r="http://schemas.openxmlformats.org/officeDocument/2006/relationships" r:embed="rId7"/>
              <a:stretch>
                <a:fillRect/>
              </a:stretch>
            </a:blipFill>
            <a:ln>
              <a:noFill/>
            </a:ln>
            <a:effectLst/>
          </c:spPr>
          <c:invertIfNegative val="0"/>
          <c:val>
            <c:numRef>
              <c:f>Backend_P3!$I$7</c:f>
              <c:numCache>
                <c:formatCode>General</c:formatCode>
                <c:ptCount val="1"/>
                <c:pt idx="0">
                  <c:v>1</c:v>
                </c:pt>
              </c:numCache>
            </c:numRef>
          </c:val>
          <c:extLst>
            <c:ext xmlns:c16="http://schemas.microsoft.com/office/drawing/2014/chart" uri="{C3380CC4-5D6E-409C-BE32-E72D297353CC}">
              <c16:uniqueId val="{00000004-3198-4C74-AB83-13E69AB33914}"/>
            </c:ext>
          </c:extLst>
        </c:ser>
        <c:dLbls>
          <c:showLegendKey val="0"/>
          <c:showVal val="0"/>
          <c:showCatName val="0"/>
          <c:showSerName val="0"/>
          <c:showPercent val="0"/>
          <c:showBubbleSize val="0"/>
        </c:dLbls>
        <c:gapWidth val="0"/>
        <c:overlap val="100"/>
        <c:axId val="408273407"/>
        <c:axId val="408274655"/>
      </c:barChart>
      <c:catAx>
        <c:axId val="408273407"/>
        <c:scaling>
          <c:orientation val="minMax"/>
        </c:scaling>
        <c:delete val="1"/>
        <c:axPos val="b"/>
        <c:numFmt formatCode="General" sourceLinked="1"/>
        <c:majorTickMark val="none"/>
        <c:minorTickMark val="none"/>
        <c:tickLblPos val="nextTo"/>
        <c:crossAx val="408274655"/>
        <c:crosses val="autoZero"/>
        <c:auto val="1"/>
        <c:lblAlgn val="ctr"/>
        <c:lblOffset val="100"/>
        <c:noMultiLvlLbl val="0"/>
      </c:catAx>
      <c:valAx>
        <c:axId val="408274655"/>
        <c:scaling>
          <c:orientation val="minMax"/>
          <c:max val="1"/>
          <c:min val="0"/>
        </c:scaling>
        <c:delete val="0"/>
        <c:axPos val="l"/>
        <c:majorGridlines>
          <c:spPr>
            <a:ln w="9525" cap="flat" cmpd="sng" algn="ctr">
              <a:noFill/>
              <a:round/>
            </a:ln>
            <a:effectLst/>
          </c:spPr>
        </c:majorGridlines>
        <c:numFmt formatCode="General" sourceLinked="1"/>
        <c:majorTickMark val="none"/>
        <c:minorTickMark val="none"/>
        <c:tickLblPos val="none"/>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0827340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
          <c:y val="0"/>
          <c:w val="1"/>
          <c:h val="1"/>
        </c:manualLayout>
      </c:layout>
      <c:barChart>
        <c:barDir val="col"/>
        <c:grouping val="stacked"/>
        <c:varyColors val="0"/>
        <c:ser>
          <c:idx val="0"/>
          <c:order val="0"/>
          <c:spPr>
            <a:blipFill>
              <a:blip xmlns:r="http://schemas.openxmlformats.org/officeDocument/2006/relationships" r:embed="rId3"/>
              <a:stretch>
                <a:fillRect/>
              </a:stretch>
            </a:blipFill>
            <a:ln>
              <a:noFill/>
            </a:ln>
            <a:effectLst/>
          </c:spPr>
          <c:invertIfNegative val="0"/>
          <c:val>
            <c:numRef>
              <c:f>Backend_P3!$I$3</c:f>
              <c:numCache>
                <c:formatCode>General</c:formatCode>
                <c:ptCount val="1"/>
                <c:pt idx="0">
                  <c:v>#N/A</c:v>
                </c:pt>
              </c:numCache>
            </c:numRef>
          </c:val>
          <c:extLst>
            <c:ext xmlns:c16="http://schemas.microsoft.com/office/drawing/2014/chart" uri="{C3380CC4-5D6E-409C-BE32-E72D297353CC}">
              <c16:uniqueId val="{00000000-4630-4A1B-A3B8-14AF74BACC20}"/>
            </c:ext>
          </c:extLst>
        </c:ser>
        <c:ser>
          <c:idx val="1"/>
          <c:order val="1"/>
          <c:spPr>
            <a:blipFill>
              <a:blip xmlns:r="http://schemas.openxmlformats.org/officeDocument/2006/relationships" r:embed="rId4"/>
              <a:stretch>
                <a:fillRect/>
              </a:stretch>
            </a:blipFill>
            <a:ln>
              <a:noFill/>
            </a:ln>
            <a:effectLst/>
          </c:spPr>
          <c:invertIfNegative val="0"/>
          <c:val>
            <c:numRef>
              <c:f>Backend_P3!$I$4</c:f>
              <c:numCache>
                <c:formatCode>General</c:formatCode>
                <c:ptCount val="1"/>
                <c:pt idx="0">
                  <c:v>#N/A</c:v>
                </c:pt>
              </c:numCache>
            </c:numRef>
          </c:val>
          <c:extLst>
            <c:ext xmlns:c16="http://schemas.microsoft.com/office/drawing/2014/chart" uri="{C3380CC4-5D6E-409C-BE32-E72D297353CC}">
              <c16:uniqueId val="{00000001-4630-4A1B-A3B8-14AF74BACC20}"/>
            </c:ext>
          </c:extLst>
        </c:ser>
        <c:ser>
          <c:idx val="2"/>
          <c:order val="2"/>
          <c:spPr>
            <a:blipFill>
              <a:blip xmlns:r="http://schemas.openxmlformats.org/officeDocument/2006/relationships" r:embed="rId5"/>
              <a:stretch>
                <a:fillRect/>
              </a:stretch>
            </a:blipFill>
            <a:ln>
              <a:noFill/>
            </a:ln>
            <a:effectLst/>
          </c:spPr>
          <c:invertIfNegative val="0"/>
          <c:val>
            <c:numRef>
              <c:f>Backend_P3!$I$5</c:f>
              <c:numCache>
                <c:formatCode>General</c:formatCode>
                <c:ptCount val="1"/>
                <c:pt idx="0">
                  <c:v>#N/A</c:v>
                </c:pt>
              </c:numCache>
            </c:numRef>
          </c:val>
          <c:extLst>
            <c:ext xmlns:c16="http://schemas.microsoft.com/office/drawing/2014/chart" uri="{C3380CC4-5D6E-409C-BE32-E72D297353CC}">
              <c16:uniqueId val="{00000002-4630-4A1B-A3B8-14AF74BACC20}"/>
            </c:ext>
          </c:extLst>
        </c:ser>
        <c:ser>
          <c:idx val="3"/>
          <c:order val="3"/>
          <c:spPr>
            <a:blipFill>
              <a:blip xmlns:r="http://schemas.openxmlformats.org/officeDocument/2006/relationships" r:embed="rId6"/>
              <a:stretch>
                <a:fillRect/>
              </a:stretch>
            </a:blipFill>
            <a:ln>
              <a:noFill/>
            </a:ln>
            <a:effectLst/>
          </c:spPr>
          <c:invertIfNegative val="0"/>
          <c:val>
            <c:numRef>
              <c:f>Backend_P3!$I$6</c:f>
              <c:numCache>
                <c:formatCode>General</c:formatCode>
                <c:ptCount val="1"/>
                <c:pt idx="0">
                  <c:v>#N/A</c:v>
                </c:pt>
              </c:numCache>
            </c:numRef>
          </c:val>
          <c:extLst>
            <c:ext xmlns:c16="http://schemas.microsoft.com/office/drawing/2014/chart" uri="{C3380CC4-5D6E-409C-BE32-E72D297353CC}">
              <c16:uniqueId val="{00000003-4630-4A1B-A3B8-14AF74BACC20}"/>
            </c:ext>
          </c:extLst>
        </c:ser>
        <c:ser>
          <c:idx val="4"/>
          <c:order val="4"/>
          <c:spPr>
            <a:blipFill>
              <a:blip xmlns:r="http://schemas.openxmlformats.org/officeDocument/2006/relationships" r:embed="rId7"/>
              <a:stretch>
                <a:fillRect/>
              </a:stretch>
            </a:blipFill>
            <a:ln>
              <a:noFill/>
            </a:ln>
            <a:effectLst/>
          </c:spPr>
          <c:invertIfNegative val="0"/>
          <c:val>
            <c:numRef>
              <c:f>Backend_P3!$I$7</c:f>
              <c:numCache>
                <c:formatCode>General</c:formatCode>
                <c:ptCount val="1"/>
                <c:pt idx="0">
                  <c:v>1</c:v>
                </c:pt>
              </c:numCache>
            </c:numRef>
          </c:val>
          <c:extLst>
            <c:ext xmlns:c16="http://schemas.microsoft.com/office/drawing/2014/chart" uri="{C3380CC4-5D6E-409C-BE32-E72D297353CC}">
              <c16:uniqueId val="{00000004-4630-4A1B-A3B8-14AF74BACC20}"/>
            </c:ext>
          </c:extLst>
        </c:ser>
        <c:dLbls>
          <c:showLegendKey val="0"/>
          <c:showVal val="0"/>
          <c:showCatName val="0"/>
          <c:showSerName val="0"/>
          <c:showPercent val="0"/>
          <c:showBubbleSize val="0"/>
        </c:dLbls>
        <c:gapWidth val="0"/>
        <c:overlap val="100"/>
        <c:axId val="408273407"/>
        <c:axId val="408274655"/>
      </c:barChart>
      <c:catAx>
        <c:axId val="408273407"/>
        <c:scaling>
          <c:orientation val="minMax"/>
        </c:scaling>
        <c:delete val="1"/>
        <c:axPos val="b"/>
        <c:numFmt formatCode="General" sourceLinked="1"/>
        <c:majorTickMark val="none"/>
        <c:minorTickMark val="none"/>
        <c:tickLblPos val="nextTo"/>
        <c:crossAx val="408274655"/>
        <c:crosses val="autoZero"/>
        <c:auto val="1"/>
        <c:lblAlgn val="ctr"/>
        <c:lblOffset val="100"/>
        <c:noMultiLvlLbl val="0"/>
      </c:catAx>
      <c:valAx>
        <c:axId val="408274655"/>
        <c:scaling>
          <c:orientation val="minMax"/>
          <c:max val="1"/>
          <c:min val="0"/>
        </c:scaling>
        <c:delete val="0"/>
        <c:axPos val="l"/>
        <c:majorGridlines>
          <c:spPr>
            <a:ln w="9525" cap="flat" cmpd="sng" algn="ctr">
              <a:noFill/>
              <a:round/>
            </a:ln>
            <a:effectLst/>
          </c:spPr>
        </c:majorGridlines>
        <c:numFmt formatCode="General" sourceLinked="1"/>
        <c:majorTickMark val="none"/>
        <c:minorTickMark val="none"/>
        <c:tickLblPos val="none"/>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0827340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solidFill>
                <a:latin typeface="+mn-lt"/>
                <a:ea typeface="+mn-ea"/>
                <a:cs typeface="+mn-cs"/>
              </a:defRPr>
            </a:pPr>
            <a:r>
              <a:rPr lang="en-US"/>
              <a:t>Orca Sightings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solidFill>
              <a:latin typeface="+mn-lt"/>
              <a:ea typeface="+mn-ea"/>
              <a:cs typeface="+mn-cs"/>
            </a:defRPr>
          </a:pPr>
          <a:endParaRPr lang="en-US"/>
        </a:p>
      </c:txPr>
    </c:title>
    <c:autoTitleDeleted val="0"/>
    <c:plotArea>
      <c:layout>
        <c:manualLayout>
          <c:layoutTarget val="inner"/>
          <c:xMode val="edge"/>
          <c:yMode val="edge"/>
          <c:x val="5.6771028910773971E-2"/>
          <c:y val="0.14583169772400154"/>
          <c:w val="0.80449211870697312"/>
          <c:h val="0.73369447587380021"/>
        </c:manualLayout>
      </c:layout>
      <c:scatterChart>
        <c:scatterStyle val="lineMarker"/>
        <c:varyColors val="0"/>
        <c:ser>
          <c:idx val="1"/>
          <c:order val="0"/>
          <c:tx>
            <c:v>Sightings</c:v>
          </c:tx>
          <c:spPr>
            <a:ln w="25400" cap="rnd">
              <a:noFill/>
              <a:round/>
            </a:ln>
            <a:effectLst/>
          </c:spPr>
          <c:marker>
            <c:symbol val="circle"/>
            <c:size val="5"/>
            <c:spPr>
              <a:solidFill>
                <a:srgbClr val="003E6A"/>
              </a:solidFill>
              <a:ln w="9525">
                <a:noFill/>
              </a:ln>
              <a:effectLst/>
            </c:spPr>
          </c:marker>
          <c:xVal>
            <c:numRef>
              <c:f>'6.Activity - Sighting locations'!$F$13:$F$20</c:f>
              <c:numCache>
                <c:formatCode>General</c:formatCode>
                <c:ptCount val="8"/>
              </c:numCache>
            </c:numRef>
          </c:xVal>
          <c:yVal>
            <c:numRef>
              <c:f>'6.Activity - Sighting locations'!$E$13:$E$20</c:f>
              <c:numCache>
                <c:formatCode>General</c:formatCode>
                <c:ptCount val="8"/>
              </c:numCache>
            </c:numRef>
          </c:yVal>
          <c:smooth val="0"/>
          <c:extLst>
            <c:ext xmlns:c16="http://schemas.microsoft.com/office/drawing/2014/chart" uri="{C3380CC4-5D6E-409C-BE32-E72D297353CC}">
              <c16:uniqueId val="{00000002-F216-4D7D-9B0B-975ED4DF5E9E}"/>
            </c:ext>
          </c:extLst>
        </c:ser>
        <c:dLbls>
          <c:showLegendKey val="0"/>
          <c:showVal val="0"/>
          <c:showCatName val="0"/>
          <c:showSerName val="0"/>
          <c:showPercent val="0"/>
          <c:showBubbleSize val="0"/>
        </c:dLbls>
        <c:axId val="207942736"/>
        <c:axId val="207943152"/>
        <c:extLst/>
      </c:scatterChart>
      <c:valAx>
        <c:axId val="207942736"/>
        <c:scaling>
          <c:orientation val="minMax"/>
          <c:max val="-121.3"/>
          <c:min val="-126"/>
        </c:scaling>
        <c:delete val="0"/>
        <c:axPos val="b"/>
        <c:majorGridlines>
          <c:spPr>
            <a:ln w="9525" cap="flat" cmpd="sng" algn="ctr">
              <a:solidFill>
                <a:schemeClr val="tx1"/>
              </a:solidFill>
              <a:prstDash val="sysDot"/>
              <a:round/>
            </a:ln>
            <a:effectLst/>
          </c:spPr>
        </c:majorGridlines>
        <c:numFmt formatCode="#,##0.0" sourceLinked="0"/>
        <c:majorTickMark val="none"/>
        <c:minorTickMark val="none"/>
        <c:tickLblPos val="nextTo"/>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en-US"/>
          </a:p>
        </c:txPr>
        <c:crossAx val="207943152"/>
        <c:crosses val="autoZero"/>
        <c:crossBetween val="midCat"/>
        <c:majorUnit val="0.5"/>
      </c:valAx>
      <c:valAx>
        <c:axId val="207943152"/>
        <c:scaling>
          <c:orientation val="minMax"/>
          <c:max val="49.5"/>
          <c:min val="47.5"/>
        </c:scaling>
        <c:delete val="0"/>
        <c:axPos val="l"/>
        <c:majorGridlines>
          <c:spPr>
            <a:ln w="9525" cap="flat" cmpd="sng" algn="ctr">
              <a:solidFill>
                <a:schemeClr val="tx1"/>
              </a:solidFill>
              <a:prstDash val="sysDot"/>
              <a:round/>
            </a:ln>
            <a:effectLst/>
          </c:spPr>
        </c:majorGridlines>
        <c:numFmt formatCode="#,##0.0" sourceLinked="0"/>
        <c:majorTickMark val="none"/>
        <c:minorTickMark val="none"/>
        <c:tickLblPos val="high"/>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en-US"/>
          </a:p>
        </c:txPr>
        <c:crossAx val="207942736"/>
        <c:crossesAt val="-122"/>
        <c:crossBetween val="midCat"/>
        <c:majorUnit val="0.5"/>
      </c:valAx>
      <c:spPr>
        <a:blipFill>
          <a:blip xmlns:r="http://schemas.openxmlformats.org/officeDocument/2006/relationships" r:embed="rId3"/>
          <a:stretch>
            <a:fillRect/>
          </a:stretch>
        </a:blipFill>
        <a:ln>
          <a:solidFill>
            <a:schemeClr val="tx1"/>
          </a:solid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solidFill>
            <a:schemeClr val="tx1"/>
          </a:solidFill>
        </a:defRPr>
      </a:pPr>
      <a:endParaRPr lang="en-US"/>
    </a:p>
  </c:tx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1.8968115096724021E-3"/>
          <c:y val="8.9797803052396249E-4"/>
          <c:w val="0.99810318849032764"/>
          <c:h val="0.99907245390622468"/>
        </c:manualLayout>
      </c:layout>
      <c:pieChart>
        <c:varyColors val="1"/>
        <c:ser>
          <c:idx val="0"/>
          <c:order val="0"/>
          <c:spPr>
            <a:solidFill>
              <a:schemeClr val="bg2">
                <a:alpha val="70000"/>
              </a:schemeClr>
            </a:solidFill>
            <a:ln w="6350"/>
          </c:spPr>
          <c:dPt>
            <c:idx val="0"/>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01-AC9E-4C4D-8714-B9F25721C460}"/>
              </c:ext>
            </c:extLst>
          </c:dPt>
          <c:dPt>
            <c:idx val="1"/>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03-AC9E-4C4D-8714-B9F25721C460}"/>
              </c:ext>
            </c:extLst>
          </c:dPt>
          <c:dPt>
            <c:idx val="2"/>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05-AC9E-4C4D-8714-B9F25721C460}"/>
              </c:ext>
            </c:extLst>
          </c:dPt>
          <c:dPt>
            <c:idx val="3"/>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07-AC9E-4C4D-8714-B9F25721C460}"/>
              </c:ext>
            </c:extLst>
          </c:dPt>
          <c:dPt>
            <c:idx val="4"/>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09-AC9E-4C4D-8714-B9F25721C460}"/>
              </c:ext>
            </c:extLst>
          </c:dPt>
          <c:dPt>
            <c:idx val="5"/>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0B-AC9E-4C4D-8714-B9F25721C460}"/>
              </c:ext>
            </c:extLst>
          </c:dPt>
          <c:dPt>
            <c:idx val="6"/>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0D-AC9E-4C4D-8714-B9F25721C460}"/>
              </c:ext>
            </c:extLst>
          </c:dPt>
          <c:dPt>
            <c:idx val="7"/>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0F-AC9E-4C4D-8714-B9F25721C460}"/>
              </c:ext>
            </c:extLst>
          </c:dPt>
          <c:dPt>
            <c:idx val="8"/>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11-AC9E-4C4D-8714-B9F25721C460}"/>
              </c:ext>
            </c:extLst>
          </c:dPt>
          <c:dPt>
            <c:idx val="9"/>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13-AC9E-4C4D-8714-B9F25721C460}"/>
              </c:ext>
            </c:extLst>
          </c:dPt>
          <c:dPt>
            <c:idx val="10"/>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15-AC9E-4C4D-8714-B9F25721C460}"/>
              </c:ext>
            </c:extLst>
          </c:dPt>
          <c:dPt>
            <c:idx val="11"/>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17-AC9E-4C4D-8714-B9F25721C460}"/>
              </c:ext>
            </c:extLst>
          </c:dPt>
          <c:dPt>
            <c:idx val="12"/>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19-AC9E-4C4D-8714-B9F25721C460}"/>
              </c:ext>
            </c:extLst>
          </c:dPt>
          <c:dPt>
            <c:idx val="13"/>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1B-AC9E-4C4D-8714-B9F25721C460}"/>
              </c:ext>
            </c:extLst>
          </c:dPt>
          <c:dPt>
            <c:idx val="14"/>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1D-AC9E-4C4D-8714-B9F25721C460}"/>
              </c:ext>
            </c:extLst>
          </c:dPt>
          <c:dPt>
            <c:idx val="15"/>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1F-AC9E-4C4D-8714-B9F25721C460}"/>
              </c:ext>
            </c:extLst>
          </c:dPt>
          <c:dPt>
            <c:idx val="16"/>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21-AC9E-4C4D-8714-B9F25721C460}"/>
              </c:ext>
            </c:extLst>
          </c:dPt>
          <c:dPt>
            <c:idx val="17"/>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23-AC9E-4C4D-8714-B9F25721C460}"/>
              </c:ext>
            </c:extLst>
          </c:dPt>
          <c:dPt>
            <c:idx val="18"/>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25-AC9E-4C4D-8714-B9F25721C460}"/>
              </c:ext>
            </c:extLst>
          </c:dPt>
          <c:dPt>
            <c:idx val="19"/>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27-AC9E-4C4D-8714-B9F25721C460}"/>
              </c:ext>
            </c:extLst>
          </c:dPt>
          <c:dPt>
            <c:idx val="20"/>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29-AC9E-4C4D-8714-B9F25721C460}"/>
              </c:ext>
            </c:extLst>
          </c:dPt>
          <c:dPt>
            <c:idx val="21"/>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2B-AC9E-4C4D-8714-B9F25721C460}"/>
              </c:ext>
            </c:extLst>
          </c:dPt>
          <c:dPt>
            <c:idx val="22"/>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2D-AC9E-4C4D-8714-B9F25721C460}"/>
              </c:ext>
            </c:extLst>
          </c:dPt>
          <c:dPt>
            <c:idx val="23"/>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2F-AC9E-4C4D-8714-B9F25721C460}"/>
              </c:ext>
            </c:extLst>
          </c:dPt>
          <c:dPt>
            <c:idx val="24"/>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31-AC9E-4C4D-8714-B9F25721C460}"/>
              </c:ext>
            </c:extLst>
          </c:dPt>
          <c:dPt>
            <c:idx val="25"/>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33-AC9E-4C4D-8714-B9F25721C460}"/>
              </c:ext>
            </c:extLst>
          </c:dPt>
          <c:dPt>
            <c:idx val="26"/>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35-AC9E-4C4D-8714-B9F25721C460}"/>
              </c:ext>
            </c:extLst>
          </c:dPt>
          <c:dPt>
            <c:idx val="27"/>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37-AC9E-4C4D-8714-B9F25721C460}"/>
              </c:ext>
            </c:extLst>
          </c:dPt>
          <c:dPt>
            <c:idx val="28"/>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39-AC9E-4C4D-8714-B9F25721C460}"/>
              </c:ext>
            </c:extLst>
          </c:dPt>
          <c:dPt>
            <c:idx val="29"/>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3B-AC9E-4C4D-8714-B9F25721C460}"/>
              </c:ext>
            </c:extLst>
          </c:dPt>
          <c:dPt>
            <c:idx val="30"/>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3D-AC9E-4C4D-8714-B9F25721C460}"/>
              </c:ext>
            </c:extLst>
          </c:dPt>
          <c:dPt>
            <c:idx val="31"/>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3F-AC9E-4C4D-8714-B9F25721C460}"/>
              </c:ext>
            </c:extLst>
          </c:dPt>
          <c:dPt>
            <c:idx val="32"/>
            <c:bubble3D val="0"/>
            <c:spPr>
              <a:solidFill>
                <a:schemeClr val="bg2">
                  <a:alpha val="0"/>
                </a:schemeClr>
              </a:solidFill>
              <a:ln w="6350">
                <a:solidFill>
                  <a:schemeClr val="lt1"/>
                </a:solidFill>
              </a:ln>
              <a:effectLst/>
            </c:spPr>
            <c:extLst>
              <c:ext xmlns:c16="http://schemas.microsoft.com/office/drawing/2014/chart" uri="{C3380CC4-5D6E-409C-BE32-E72D297353CC}">
                <c16:uniqueId val="{00000041-AC9E-4C4D-8714-B9F25721C460}"/>
              </c:ext>
            </c:extLst>
          </c:dPt>
          <c:dPt>
            <c:idx val="33"/>
            <c:bubble3D val="0"/>
            <c:spPr>
              <a:solidFill>
                <a:schemeClr val="bg2">
                  <a:alpha val="70000"/>
                </a:schemeClr>
              </a:solidFill>
              <a:ln w="6350">
                <a:solidFill>
                  <a:schemeClr val="lt1"/>
                </a:solidFill>
              </a:ln>
              <a:effectLst/>
            </c:spPr>
            <c:extLst>
              <c:ext xmlns:c16="http://schemas.microsoft.com/office/drawing/2014/chart" uri="{C3380CC4-5D6E-409C-BE32-E72D297353CC}">
                <c16:uniqueId val="{00000043-AC9E-4C4D-8714-B9F25721C460}"/>
              </c:ext>
            </c:extLst>
          </c:dPt>
          <c:val>
            <c:numRef>
              <c:f>Backend_Badge!$N$3:$N$36</c:f>
              <c:numCache>
                <c:formatCode>General</c:formatCode>
                <c:ptCount val="34"/>
                <c:pt idx="0">
                  <c:v>0</c:v>
                </c:pt>
                <c:pt idx="1">
                  <c:v>1</c:v>
                </c:pt>
                <c:pt idx="2">
                  <c:v>0</c:v>
                </c:pt>
                <c:pt idx="3">
                  <c:v>1</c:v>
                </c:pt>
                <c:pt idx="4">
                  <c:v>0</c:v>
                </c:pt>
                <c:pt idx="5">
                  <c:v>1</c:v>
                </c:pt>
                <c:pt idx="6">
                  <c:v>0</c:v>
                </c:pt>
                <c:pt idx="7">
                  <c:v>1</c:v>
                </c:pt>
                <c:pt idx="8">
                  <c:v>0</c:v>
                </c:pt>
                <c:pt idx="9">
                  <c:v>1</c:v>
                </c:pt>
                <c:pt idx="10">
                  <c:v>0</c:v>
                </c:pt>
                <c:pt idx="11">
                  <c:v>1</c:v>
                </c:pt>
                <c:pt idx="12">
                  <c:v>0</c:v>
                </c:pt>
                <c:pt idx="13">
                  <c:v>1</c:v>
                </c:pt>
                <c:pt idx="14">
                  <c:v>0</c:v>
                </c:pt>
                <c:pt idx="15">
                  <c:v>1</c:v>
                </c:pt>
                <c:pt idx="16">
                  <c:v>0</c:v>
                </c:pt>
                <c:pt idx="17">
                  <c:v>1</c:v>
                </c:pt>
                <c:pt idx="18">
                  <c:v>0</c:v>
                </c:pt>
                <c:pt idx="19">
                  <c:v>1</c:v>
                </c:pt>
                <c:pt idx="20">
                  <c:v>0</c:v>
                </c:pt>
                <c:pt idx="21">
                  <c:v>1</c:v>
                </c:pt>
                <c:pt idx="22">
                  <c:v>0</c:v>
                </c:pt>
                <c:pt idx="23">
                  <c:v>1</c:v>
                </c:pt>
                <c:pt idx="24">
                  <c:v>0</c:v>
                </c:pt>
                <c:pt idx="25">
                  <c:v>1</c:v>
                </c:pt>
                <c:pt idx="26">
                  <c:v>0</c:v>
                </c:pt>
                <c:pt idx="27">
                  <c:v>1</c:v>
                </c:pt>
                <c:pt idx="28">
                  <c:v>0</c:v>
                </c:pt>
                <c:pt idx="29">
                  <c:v>1</c:v>
                </c:pt>
                <c:pt idx="30">
                  <c:v>0</c:v>
                </c:pt>
                <c:pt idx="31">
                  <c:v>1</c:v>
                </c:pt>
                <c:pt idx="32">
                  <c:v>0</c:v>
                </c:pt>
                <c:pt idx="33">
                  <c:v>1</c:v>
                </c:pt>
              </c:numCache>
            </c:numRef>
          </c:val>
          <c:extLst>
            <c:ext xmlns:c16="http://schemas.microsoft.com/office/drawing/2014/chart" uri="{C3380CC4-5D6E-409C-BE32-E72D297353CC}">
              <c16:uniqueId val="{00000044-AC9E-4C4D-8714-B9F25721C460}"/>
            </c:ext>
          </c:extLst>
        </c:ser>
        <c:dLbls>
          <c:showLegendKey val="0"/>
          <c:showVal val="0"/>
          <c:showCatName val="0"/>
          <c:showSerName val="0"/>
          <c:showPercent val="0"/>
          <c:showBubbleSize val="0"/>
          <c:showLeaderLines val="1"/>
        </c:dLbls>
        <c:firstSliceAng val="0"/>
      </c:pieChart>
      <c:spPr>
        <a:blipFill>
          <a:blip xmlns:r="http://schemas.openxmlformats.org/officeDocument/2006/relationships" r:embed="rId3"/>
          <a:stretch>
            <a:fillRect/>
          </a:stretch>
        </a:blip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
          <c:y val="0"/>
          <c:w val="1"/>
          <c:h val="1"/>
        </c:manualLayout>
      </c:layout>
      <c:pieChart>
        <c:varyColors val="1"/>
        <c:ser>
          <c:idx val="0"/>
          <c:order val="0"/>
          <c:spPr>
            <a:blipFill>
              <a:blip xmlns:r="http://schemas.openxmlformats.org/officeDocument/2006/relationships" r:embed="rId3"/>
              <a:stretch>
                <a:fillRect/>
              </a:stretch>
            </a:blipFill>
            <a:ln>
              <a:noFill/>
            </a:ln>
          </c:spPr>
          <c:dPt>
            <c:idx val="0"/>
            <c:bubble3D val="0"/>
            <c:spPr>
              <a:blipFill>
                <a:blip xmlns:r="http://schemas.openxmlformats.org/officeDocument/2006/relationships" r:embed="rId3"/>
                <a:stretch>
                  <a:fillRect/>
                </a:stretch>
              </a:blipFill>
              <a:ln w="19050">
                <a:noFill/>
              </a:ln>
              <a:effectLst/>
            </c:spPr>
            <c:extLst>
              <c:ext xmlns:c16="http://schemas.microsoft.com/office/drawing/2014/chart" uri="{C3380CC4-5D6E-409C-BE32-E72D297353CC}">
                <c16:uniqueId val="{00000001-966C-45CD-B120-D59AD8C7AA0D}"/>
              </c:ext>
            </c:extLst>
          </c:dPt>
          <c:dPt>
            <c:idx val="1"/>
            <c:bubble3D val="0"/>
            <c:spPr>
              <a:blipFill dpi="0" rotWithShape="1">
                <a:blip xmlns:r="http://schemas.openxmlformats.org/officeDocument/2006/relationships" r:embed="rId4">
                  <a:alphaModFix amt="40000"/>
                </a:blip>
                <a:srcRect/>
                <a:stretch>
                  <a:fillRect/>
                </a:stretch>
              </a:blipFill>
              <a:ln w="19050">
                <a:noFill/>
              </a:ln>
              <a:effectLst/>
            </c:spPr>
            <c:extLst>
              <c:ext xmlns:c16="http://schemas.microsoft.com/office/drawing/2014/chart" uri="{C3380CC4-5D6E-409C-BE32-E72D297353CC}">
                <c16:uniqueId val="{00000003-966C-45CD-B120-D59AD8C7AA0D}"/>
              </c:ext>
            </c:extLst>
          </c:dPt>
          <c:val>
            <c:numRef>
              <c:f>Backend_Badge!$T$9:$T$10</c:f>
              <c:numCache>
                <c:formatCode>General</c:formatCode>
                <c:ptCount val="2"/>
                <c:pt idx="0">
                  <c:v>0</c:v>
                </c:pt>
                <c:pt idx="1">
                  <c:v>1</c:v>
                </c:pt>
              </c:numCache>
            </c:numRef>
          </c:val>
          <c:extLst>
            <c:ext xmlns:c16="http://schemas.microsoft.com/office/drawing/2014/chart" uri="{C3380CC4-5D6E-409C-BE32-E72D297353CC}">
              <c16:uniqueId val="{00000004-966C-45CD-B120-D59AD8C7AA0D}"/>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chart" Target="../charts/chart1.xml"/><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3" Type="http://schemas.openxmlformats.org/officeDocument/2006/relationships/chart" Target="../charts/chart4.xml"/><Relationship Id="rId2" Type="http://schemas.openxmlformats.org/officeDocument/2006/relationships/chart" Target="../charts/chart3.xml"/><Relationship Id="rId1" Type="http://schemas.openxmlformats.org/officeDocument/2006/relationships/chart" Target="../charts/chart2.xml"/><Relationship Id="rId4" Type="http://schemas.openxmlformats.org/officeDocument/2006/relationships/chart" Target="../charts/chart5.xml"/></Relationships>
</file>

<file path=xl/drawings/_rels/drawing4.xml.rels><?xml version="1.0" encoding="UTF-8" standalone="yes"?>
<Relationships xmlns="http://schemas.openxmlformats.org/package/2006/relationships"><Relationship Id="rId3" Type="http://schemas.openxmlformats.org/officeDocument/2006/relationships/image" Target="../media/image24.png"/><Relationship Id="rId2" Type="http://schemas.openxmlformats.org/officeDocument/2006/relationships/image" Target="../media/image23.png"/><Relationship Id="rId1" Type="http://schemas.openxmlformats.org/officeDocument/2006/relationships/chart" Target="../charts/chart6.xml"/></Relationships>
</file>

<file path=xl/drawings/_rels/drawing5.xml.rels><?xml version="1.0" encoding="UTF-8" standalone="yes"?>
<Relationships xmlns="http://schemas.openxmlformats.org/package/2006/relationships"><Relationship Id="rId3" Type="http://schemas.openxmlformats.org/officeDocument/2006/relationships/image" Target="../media/image26.png"/><Relationship Id="rId2" Type="http://schemas.openxmlformats.org/officeDocument/2006/relationships/image" Target="../media/image25.png"/><Relationship Id="rId1" Type="http://schemas.openxmlformats.org/officeDocument/2006/relationships/chart" Target="../charts/chart7.xml"/><Relationship Id="rId6" Type="http://schemas.openxmlformats.org/officeDocument/2006/relationships/image" Target="../media/image23.png"/><Relationship Id="rId5" Type="http://schemas.openxmlformats.org/officeDocument/2006/relationships/image" Target="../media/image28.png"/><Relationship Id="rId4" Type="http://schemas.openxmlformats.org/officeDocument/2006/relationships/image" Target="../media/image27.png"/></Relationships>
</file>

<file path=xl/drawings/_rels/drawing6.xml.rels><?xml version="1.0" encoding="UTF-8" standalone="yes"?>
<Relationships xmlns="http://schemas.openxmlformats.org/package/2006/relationships"><Relationship Id="rId3" Type="http://schemas.openxmlformats.org/officeDocument/2006/relationships/image" Target="../media/image31.png"/><Relationship Id="rId2" Type="http://schemas.openxmlformats.org/officeDocument/2006/relationships/image" Target="../media/image30.png"/><Relationship Id="rId1" Type="http://schemas.openxmlformats.org/officeDocument/2006/relationships/image" Target="../media/image29.png"/><Relationship Id="rId5" Type="http://schemas.openxmlformats.org/officeDocument/2006/relationships/chart" Target="../charts/chart9.xml"/><Relationship Id="rId4" Type="http://schemas.openxmlformats.org/officeDocument/2006/relationships/chart" Target="../charts/chart8.xml"/></Relationships>
</file>

<file path=xl/drawings/_rels/drawing7.xml.rels><?xml version="1.0" encoding="UTF-8" standalone="yes"?>
<Relationships xmlns="http://schemas.openxmlformats.org/package/2006/relationships"><Relationship Id="rId8" Type="http://schemas.openxmlformats.org/officeDocument/2006/relationships/image" Target="../media/image60.png"/><Relationship Id="rId3" Type="http://schemas.openxmlformats.org/officeDocument/2006/relationships/image" Target="../media/image55.png"/><Relationship Id="rId7" Type="http://schemas.openxmlformats.org/officeDocument/2006/relationships/image" Target="../media/image59.png"/><Relationship Id="rId2" Type="http://schemas.openxmlformats.org/officeDocument/2006/relationships/image" Target="../media/image54.png"/><Relationship Id="rId1" Type="http://schemas.openxmlformats.org/officeDocument/2006/relationships/chart" Target="../charts/chart10.xml"/><Relationship Id="rId6" Type="http://schemas.openxmlformats.org/officeDocument/2006/relationships/image" Target="../media/image58.png"/><Relationship Id="rId5" Type="http://schemas.openxmlformats.org/officeDocument/2006/relationships/image" Target="../media/image57.png"/><Relationship Id="rId4" Type="http://schemas.openxmlformats.org/officeDocument/2006/relationships/image" Target="../media/image56.png"/><Relationship Id="rId9" Type="http://schemas.openxmlformats.org/officeDocument/2006/relationships/image" Target="../media/image61.png"/></Relationships>
</file>

<file path=xl/drawings/_rels/drawing8.xml.rels><?xml version="1.0" encoding="UTF-8" standalone="yes"?>
<Relationships xmlns="http://schemas.openxmlformats.org/package/2006/relationships"><Relationship Id="rId3" Type="http://schemas.openxmlformats.org/officeDocument/2006/relationships/chart" Target="../charts/chart11.xml"/><Relationship Id="rId2" Type="http://schemas.openxmlformats.org/officeDocument/2006/relationships/image" Target="../media/image63.png"/><Relationship Id="rId1" Type="http://schemas.openxmlformats.org/officeDocument/2006/relationships/image" Target="../media/image62.png"/><Relationship Id="rId6" Type="http://schemas.openxmlformats.org/officeDocument/2006/relationships/image" Target="../media/image79.png"/><Relationship Id="rId5" Type="http://schemas.openxmlformats.org/officeDocument/2006/relationships/chart" Target="../charts/chart13.xml"/><Relationship Id="rId4" Type="http://schemas.openxmlformats.org/officeDocument/2006/relationships/chart" Target="../charts/chart12.xml"/></Relationships>
</file>

<file path=xl/drawings/_rels/drawing9.xml.rels><?xml version="1.0" encoding="UTF-8" standalone="yes"?>
<Relationships xmlns="http://schemas.openxmlformats.org/package/2006/relationships"><Relationship Id="rId3" Type="http://schemas.openxmlformats.org/officeDocument/2006/relationships/chart" Target="../charts/chart15.xml"/><Relationship Id="rId2" Type="http://schemas.openxmlformats.org/officeDocument/2006/relationships/image" Target="../media/image81.png"/><Relationship Id="rId1" Type="http://schemas.openxmlformats.org/officeDocument/2006/relationships/chart" Target="../charts/chart14.xml"/></Relationships>
</file>

<file path=xl/drawings/_rels/drawing10.xml.rels><?xml version="1.0" encoding="UTF-8" standalone="yes"?>
<Relationships xmlns="http://schemas.openxmlformats.org/package/2006/relationships"><Relationship Id="rId1" Type="http://schemas.openxmlformats.org/officeDocument/2006/relationships/chart" Target="../charts/chart16.xml"/></Relationships>
</file>

<file path=xl/drawings/_rels/drawing11.xml.rels><?xml version="1.0" encoding="UTF-8" standalone="yes"?>
<Relationships xmlns="http://schemas.openxmlformats.org/package/2006/relationships"><Relationship Id="rId1" Type="http://schemas.openxmlformats.org/officeDocument/2006/relationships/image" Target="../media/image29.png"/></Relationships>
</file>

<file path=xl/drawings/drawing1.xml><?xml version="1.0" encoding="utf-8"?>
<xdr:wsDr xmlns:xdr="http://schemas.openxmlformats.org/drawingml/2006/spreadsheetDrawing" xmlns:a="http://schemas.openxmlformats.org/drawingml/2006/main">
  <xdr:twoCellAnchor>
    <xdr:from>
      <xdr:col>10</xdr:col>
      <xdr:colOff>57150</xdr:colOff>
      <xdr:row>0</xdr:row>
      <xdr:rowOff>0</xdr:rowOff>
    </xdr:from>
    <xdr:to>
      <xdr:col>15</xdr:col>
      <xdr:colOff>123825</xdr:colOff>
      <xdr:row>21</xdr:row>
      <xdr:rowOff>133350</xdr:rowOff>
    </xdr:to>
    <xdr:pic>
      <xdr:nvPicPr>
        <xdr:cNvPr id="6" name="Picture 1" descr="Illustration of Kiki, a young Southern Resident orca">
          <a:extLst>
            <a:ext uri="{FF2B5EF4-FFF2-40B4-BE49-F238E27FC236}">
              <a16:creationId xmlns:a16="http://schemas.microsoft.com/office/drawing/2014/main" id="{D1968B69-36C2-44B7-9366-684DB7236113}"/>
            </a:ext>
            <a:ext uri="{C183D7F6-B498-43B3-948B-1728B52AA6E4}">
              <adec:decorative xmlns:adec="http://schemas.microsoft.com/office/drawing/2017/decorative" val="0"/>
            </a:ext>
          </a:extLst>
        </xdr:cNvPr>
        <xdr:cNvPicPr>
          <a:picLocks noChangeAspect="1"/>
        </xdr:cNvPicPr>
      </xdr:nvPicPr>
      <xdr:blipFill>
        <a:blip xmlns:r="http://schemas.openxmlformats.org/officeDocument/2006/relationships" r:embed="rId1"/>
        <a:stretch>
          <a:fillRect/>
        </a:stretch>
      </xdr:blipFill>
      <xdr:spPr>
        <a:xfrm>
          <a:off x="6619875" y="0"/>
          <a:ext cx="4352925" cy="489585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7</xdr:col>
      <xdr:colOff>21535</xdr:colOff>
      <xdr:row>24</xdr:row>
      <xdr:rowOff>157368</xdr:rowOff>
    </xdr:from>
    <xdr:to>
      <xdr:col>7</xdr:col>
      <xdr:colOff>273326</xdr:colOff>
      <xdr:row>25</xdr:row>
      <xdr:rowOff>197363</xdr:rowOff>
    </xdr:to>
    <xdr:sp macro="" textlink="">
      <xdr:nvSpPr>
        <xdr:cNvPr id="2" name="Arrow: Up 1">
          <a:extLst>
            <a:ext uri="{FF2B5EF4-FFF2-40B4-BE49-F238E27FC236}">
              <a16:creationId xmlns:a16="http://schemas.microsoft.com/office/drawing/2014/main" id="{95481D6E-511E-41CA-AFE4-DA8E3FA66E52}"/>
            </a:ext>
            <a:ext uri="{147F2762-F138-4A5C-976F-8EAC2B608ADB}">
              <a16:predDERef xmlns:a16="http://schemas.microsoft.com/office/drawing/2014/main" pred="{0C0EEBF4-606A-4FC2-9F9F-C0A0103275F8}"/>
            </a:ext>
            <a:ext uri="{C183D7F6-B498-43B3-948B-1728B52AA6E4}">
              <adec:decorative xmlns:adec="http://schemas.microsoft.com/office/drawing/2017/decorative" val="1"/>
            </a:ext>
          </a:extLst>
        </xdr:cNvPr>
        <xdr:cNvSpPr/>
      </xdr:nvSpPr>
      <xdr:spPr>
        <a:xfrm rot="1369364" flipV="1">
          <a:off x="3164785" y="5367543"/>
          <a:ext cx="251791" cy="278120"/>
        </a:xfrm>
        <a:prstGeom prst="upArrow">
          <a:avLst/>
        </a:prstGeom>
        <a:solidFill>
          <a:schemeClr val="accent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editAs="oneCell">
    <xdr:from>
      <xdr:col>13</xdr:col>
      <xdr:colOff>294184</xdr:colOff>
      <xdr:row>4</xdr:row>
      <xdr:rowOff>237137</xdr:rowOff>
    </xdr:from>
    <xdr:to>
      <xdr:col>23</xdr:col>
      <xdr:colOff>824575</xdr:colOff>
      <xdr:row>18</xdr:row>
      <xdr:rowOff>209549</xdr:rowOff>
    </xdr:to>
    <xdr:pic>
      <xdr:nvPicPr>
        <xdr:cNvPr id="4" name="Picture 3" descr="Illustration depicting what the following terms refer to in Excel:&#10;Formula bar&#10;Cell&#10;Grid&#10;Zoom">
          <a:extLst>
            <a:ext uri="{FF2B5EF4-FFF2-40B4-BE49-F238E27FC236}">
              <a16:creationId xmlns:a16="http://schemas.microsoft.com/office/drawing/2014/main" id="{A51D1995-D4C1-41CF-BF8F-FEE5C583618B}"/>
            </a:ext>
            <a:ext uri="{147F2762-F138-4A5C-976F-8EAC2B608ADB}">
              <a16:predDERef xmlns:a16="http://schemas.microsoft.com/office/drawing/2014/main" pred="{6D0F9C94-C067-42ED-BCCA-951D2FCFD924}"/>
            </a:ext>
          </a:extLst>
        </xdr:cNvPr>
        <xdr:cNvPicPr>
          <a:picLocks noChangeAspect="1"/>
        </xdr:cNvPicPr>
      </xdr:nvPicPr>
      <xdr:blipFill>
        <a:blip xmlns:r="http://schemas.openxmlformats.org/officeDocument/2006/relationships" r:embed="rId1"/>
        <a:stretch>
          <a:fillRect/>
        </a:stretch>
      </xdr:blipFill>
      <xdr:spPr>
        <a:xfrm>
          <a:off x="5856784" y="1161062"/>
          <a:ext cx="5664366" cy="3087087"/>
        </a:xfrm>
        <a:prstGeom prst="rect">
          <a:avLst/>
        </a:prstGeom>
      </xdr:spPr>
    </xdr:pic>
    <xdr:clientData/>
  </xdr:twoCellAnchor>
  <xdr:twoCellAnchor>
    <xdr:from>
      <xdr:col>7</xdr:col>
      <xdr:colOff>33130</xdr:colOff>
      <xdr:row>32</xdr:row>
      <xdr:rowOff>208306</xdr:rowOff>
    </xdr:from>
    <xdr:to>
      <xdr:col>7</xdr:col>
      <xdr:colOff>284921</xdr:colOff>
      <xdr:row>34</xdr:row>
      <xdr:rowOff>10176</xdr:rowOff>
    </xdr:to>
    <xdr:sp macro="" textlink="">
      <xdr:nvSpPr>
        <xdr:cNvPr id="5" name="Arrow: Up 4">
          <a:extLst>
            <a:ext uri="{FF2B5EF4-FFF2-40B4-BE49-F238E27FC236}">
              <a16:creationId xmlns:a16="http://schemas.microsoft.com/office/drawing/2014/main" id="{74C294F7-DB21-401E-A121-18564B1890DD}"/>
            </a:ext>
            <a:ext uri="{147F2762-F138-4A5C-976F-8EAC2B608ADB}">
              <a16:predDERef xmlns:a16="http://schemas.microsoft.com/office/drawing/2014/main" pred="{0C0EEBF4-606A-4FC2-9F9F-C0A0103275F8}"/>
            </a:ext>
            <a:ext uri="{C183D7F6-B498-43B3-948B-1728B52AA6E4}">
              <adec:decorative xmlns:adec="http://schemas.microsoft.com/office/drawing/2017/decorative" val="1"/>
            </a:ext>
          </a:extLst>
        </xdr:cNvPr>
        <xdr:cNvSpPr/>
      </xdr:nvSpPr>
      <xdr:spPr>
        <a:xfrm rot="1369364" flipV="1">
          <a:off x="3176380" y="7190131"/>
          <a:ext cx="251791" cy="278120"/>
        </a:xfrm>
        <a:prstGeom prst="upArrow">
          <a:avLst/>
        </a:prstGeom>
        <a:solidFill>
          <a:schemeClr val="accent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14</xdr:col>
      <xdr:colOff>593035</xdr:colOff>
      <xdr:row>29</xdr:row>
      <xdr:rowOff>24848</xdr:rowOff>
    </xdr:from>
    <xdr:to>
      <xdr:col>15</xdr:col>
      <xdr:colOff>0</xdr:colOff>
      <xdr:row>30</xdr:row>
      <xdr:rowOff>64843</xdr:rowOff>
    </xdr:to>
    <xdr:sp macro="" textlink="">
      <xdr:nvSpPr>
        <xdr:cNvPr id="6" name="Arrow: Up 5">
          <a:extLst>
            <a:ext uri="{FF2B5EF4-FFF2-40B4-BE49-F238E27FC236}">
              <a16:creationId xmlns:a16="http://schemas.microsoft.com/office/drawing/2014/main" id="{BF82C30E-49C8-4C0C-81D2-A23DE71C5246}"/>
            </a:ext>
            <a:ext uri="{147F2762-F138-4A5C-976F-8EAC2B608ADB}">
              <a16:predDERef xmlns:a16="http://schemas.microsoft.com/office/drawing/2014/main" pred="{0C0EEBF4-606A-4FC2-9F9F-C0A0103275F8}"/>
            </a:ext>
            <a:ext uri="{C183D7F6-B498-43B3-948B-1728B52AA6E4}">
              <adec:decorative xmlns:adec="http://schemas.microsoft.com/office/drawing/2017/decorative" val="1"/>
            </a:ext>
          </a:extLst>
        </xdr:cNvPr>
        <xdr:cNvSpPr/>
      </xdr:nvSpPr>
      <xdr:spPr>
        <a:xfrm flipV="1">
          <a:off x="6970644" y="6510131"/>
          <a:ext cx="251791" cy="280190"/>
        </a:xfrm>
        <a:prstGeom prst="upArrow">
          <a:avLst/>
        </a:prstGeom>
        <a:solidFill>
          <a:schemeClr val="accent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21</xdr:col>
      <xdr:colOff>76200</xdr:colOff>
      <xdr:row>22</xdr:row>
      <xdr:rowOff>104775</xdr:rowOff>
    </xdr:from>
    <xdr:to>
      <xdr:col>24</xdr:col>
      <xdr:colOff>40991</xdr:colOff>
      <xdr:row>30</xdr:row>
      <xdr:rowOff>28575</xdr:rowOff>
    </xdr:to>
    <xdr:graphicFrame macro="">
      <xdr:nvGraphicFramePr>
        <xdr:cNvPr id="10" name="Badge questions" descr="Pie chart illustrating badge progress.">
          <a:extLst>
            <a:ext uri="{FF2B5EF4-FFF2-40B4-BE49-F238E27FC236}">
              <a16:creationId xmlns:a16="http://schemas.microsoft.com/office/drawing/2014/main" id="{7F59A977-10F6-4677-B71A-1A445422A5E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3.xml><?xml version="1.0" encoding="utf-8"?>
<xdr:wsDr xmlns:xdr="http://schemas.openxmlformats.org/drawingml/2006/spreadsheetDrawing" xmlns:a="http://schemas.openxmlformats.org/drawingml/2006/main">
  <xdr:twoCellAnchor>
    <xdr:from>
      <xdr:col>7</xdr:col>
      <xdr:colOff>0</xdr:colOff>
      <xdr:row>5</xdr:row>
      <xdr:rowOff>0</xdr:rowOff>
    </xdr:from>
    <xdr:to>
      <xdr:col>8</xdr:col>
      <xdr:colOff>0</xdr:colOff>
      <xdr:row>16</xdr:row>
      <xdr:rowOff>0</xdr:rowOff>
    </xdr:to>
    <xdr:graphicFrame macro="">
      <xdr:nvGraphicFramePr>
        <xdr:cNvPr id="2" name="Chart 1" descr="Chart consisting of different maps pointing to the Salish Sea.">
          <a:extLst>
            <a:ext uri="{FF2B5EF4-FFF2-40B4-BE49-F238E27FC236}">
              <a16:creationId xmlns:a16="http://schemas.microsoft.com/office/drawing/2014/main" id="{A4A063C5-81D8-4FF7-B2EA-44CBAC0E148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absolute">
    <xdr:from>
      <xdr:col>14</xdr:col>
      <xdr:colOff>0</xdr:colOff>
      <xdr:row>4</xdr:row>
      <xdr:rowOff>386241</xdr:rowOff>
    </xdr:from>
    <xdr:to>
      <xdr:col>19</xdr:col>
      <xdr:colOff>0</xdr:colOff>
      <xdr:row>13</xdr:row>
      <xdr:rowOff>94517</xdr:rowOff>
    </xdr:to>
    <xdr:graphicFrame macro="">
      <xdr:nvGraphicFramePr>
        <xdr:cNvPr id="5" name="Chart 2" descr="Chart illustrating the size of an orca relative to human, salmon, and elephant.">
          <a:extLst>
            <a:ext uri="{FF2B5EF4-FFF2-40B4-BE49-F238E27FC236}">
              <a16:creationId xmlns:a16="http://schemas.microsoft.com/office/drawing/2014/main" id="{4586E056-D287-4A3E-B256-2C92CF944909}"/>
            </a:ext>
            <a:ext uri="{147F2762-F138-4A5C-976F-8EAC2B608ADB}">
              <a16:predDERef xmlns:a16="http://schemas.microsoft.com/office/drawing/2014/main" pred="{A4A063C5-81D8-4FF7-B2EA-44CBAC0E148B}"/>
            </a:ext>
          </a:extLst>
        </xdr:cNvPr>
        <xdr:cNvGraphicFramePr>
          <a:graphicFrameLocks noChangeAspect="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7</xdr:col>
      <xdr:colOff>0</xdr:colOff>
      <xdr:row>18</xdr:row>
      <xdr:rowOff>95250</xdr:rowOff>
    </xdr:from>
    <xdr:to>
      <xdr:col>8</xdr:col>
      <xdr:colOff>0</xdr:colOff>
      <xdr:row>30</xdr:row>
      <xdr:rowOff>0</xdr:rowOff>
    </xdr:to>
    <xdr:graphicFrame macro="">
      <xdr:nvGraphicFramePr>
        <xdr:cNvPr id="7" name="Chart 14" descr="Chart illustrating different sounds orcas use.">
          <a:extLst>
            <a:ext uri="{FF2B5EF4-FFF2-40B4-BE49-F238E27FC236}">
              <a16:creationId xmlns:a16="http://schemas.microsoft.com/office/drawing/2014/main" id="{FA98EB96-512E-4298-9059-BDBA5DA17B96}"/>
            </a:ext>
            <a:ext uri="{147F2762-F138-4A5C-976F-8EAC2B608ADB}">
              <a16:predDERef xmlns:a16="http://schemas.microsoft.com/office/drawing/2014/main" pred="{4586E056-D287-4A3E-B256-2C92CF94490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14</xdr:col>
      <xdr:colOff>323850</xdr:colOff>
      <xdr:row>18</xdr:row>
      <xdr:rowOff>180975</xdr:rowOff>
    </xdr:from>
    <xdr:to>
      <xdr:col>18</xdr:col>
      <xdr:colOff>845058</xdr:colOff>
      <xdr:row>30</xdr:row>
      <xdr:rowOff>35433</xdr:rowOff>
    </xdr:to>
    <xdr:graphicFrame macro="">
      <xdr:nvGraphicFramePr>
        <xdr:cNvPr id="18" name="Chart 17" descr="Chart illustrating what different identifiers are for orcas.">
          <a:extLst>
            <a:ext uri="{FF2B5EF4-FFF2-40B4-BE49-F238E27FC236}">
              <a16:creationId xmlns:a16="http://schemas.microsoft.com/office/drawing/2014/main" id="{07A31DEE-DF7E-4722-9514-CC9380989335}"/>
            </a:ext>
            <a:ext uri="{147F2762-F138-4A5C-976F-8EAC2B608ADB}">
              <a16:predDERef xmlns:a16="http://schemas.microsoft.com/office/drawing/2014/main" pred="{FA98EB96-512E-4298-9059-BDBA5DA17B9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4.xml><?xml version="1.0" encoding="utf-8"?>
<xdr:wsDr xmlns:xdr="http://schemas.openxmlformats.org/drawingml/2006/spreadsheetDrawing" xmlns:a="http://schemas.openxmlformats.org/drawingml/2006/main">
  <xdr:twoCellAnchor>
    <xdr:from>
      <xdr:col>10</xdr:col>
      <xdr:colOff>219075</xdr:colOff>
      <xdr:row>11</xdr:row>
      <xdr:rowOff>14655</xdr:rowOff>
    </xdr:from>
    <xdr:to>
      <xdr:col>16</xdr:col>
      <xdr:colOff>428625</xdr:colOff>
      <xdr:row>15</xdr:row>
      <xdr:rowOff>142875</xdr:rowOff>
    </xdr:to>
    <xdr:graphicFrame macro="">
      <xdr:nvGraphicFramePr>
        <xdr:cNvPr id="3" name="Chart 2" descr="Chart illustrating the orca selected (differences by age and gender).">
          <a:extLst>
            <a:ext uri="{FF2B5EF4-FFF2-40B4-BE49-F238E27FC236}">
              <a16:creationId xmlns:a16="http://schemas.microsoft.com/office/drawing/2014/main" id="{BA091B62-01D7-43DD-A0A8-7F2034D474C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9</xdr:col>
      <xdr:colOff>1466849</xdr:colOff>
      <xdr:row>5</xdr:row>
      <xdr:rowOff>190501</xdr:rowOff>
    </xdr:from>
    <xdr:to>
      <xdr:col>14</xdr:col>
      <xdr:colOff>385557</xdr:colOff>
      <xdr:row>9</xdr:row>
      <xdr:rowOff>228601</xdr:rowOff>
    </xdr:to>
    <xdr:pic>
      <xdr:nvPicPr>
        <xdr:cNvPr id="5" name="Picture 4">
          <a:extLst>
            <a:ext uri="{FF2B5EF4-FFF2-40B4-BE49-F238E27FC236}">
              <a16:creationId xmlns:a16="http://schemas.microsoft.com/office/drawing/2014/main" id="{5914CB72-C29D-4330-BABE-16E6875881FD}"/>
            </a:ext>
            <a:ext uri="{147F2762-F138-4A5C-976F-8EAC2B608ADB}">
              <a16:predDERef xmlns:a16="http://schemas.microsoft.com/office/drawing/2014/main" pred="{24A41DF8-4257-49B9-8978-AA10B32836C1}"/>
            </a:ext>
            <a:ext uri="{C183D7F6-B498-43B3-948B-1728B52AA6E4}">
              <adec:decorative xmlns:adec="http://schemas.microsoft.com/office/drawing/2017/decorative" val="1"/>
            </a:ext>
          </a:extLst>
        </xdr:cNvPr>
        <xdr:cNvPicPr>
          <a:picLocks noChangeAspect="1"/>
        </xdr:cNvPicPr>
      </xdr:nvPicPr>
      <xdr:blipFill>
        <a:blip xmlns:r="http://schemas.openxmlformats.org/officeDocument/2006/relationships" r:embed="rId2"/>
        <a:stretch>
          <a:fillRect/>
        </a:stretch>
      </xdr:blipFill>
      <xdr:spPr>
        <a:xfrm>
          <a:off x="7667624" y="1381126"/>
          <a:ext cx="2390777" cy="990600"/>
        </a:xfrm>
        <a:prstGeom prst="rect">
          <a:avLst/>
        </a:prstGeom>
      </xdr:spPr>
    </xdr:pic>
    <xdr:clientData/>
  </xdr:twoCellAnchor>
  <xdr:twoCellAnchor editAs="oneCell">
    <xdr:from>
      <xdr:col>12</xdr:col>
      <xdr:colOff>9525</xdr:colOff>
      <xdr:row>24</xdr:row>
      <xdr:rowOff>38099</xdr:rowOff>
    </xdr:from>
    <xdr:to>
      <xdr:col>16</xdr:col>
      <xdr:colOff>616232</xdr:colOff>
      <xdr:row>31</xdr:row>
      <xdr:rowOff>133349</xdr:rowOff>
    </xdr:to>
    <xdr:pic>
      <xdr:nvPicPr>
        <xdr:cNvPr id="4" name="Picture 6">
          <a:extLst>
            <a:ext uri="{FF2B5EF4-FFF2-40B4-BE49-F238E27FC236}">
              <a16:creationId xmlns:a16="http://schemas.microsoft.com/office/drawing/2014/main" id="{4196C46C-36A0-4C72-BFCD-C1552B256AEE}"/>
            </a:ext>
            <a:ext uri="{147F2762-F138-4A5C-976F-8EAC2B608ADB}">
              <a16:predDERef xmlns:a16="http://schemas.microsoft.com/office/drawing/2014/main" pred="{A221F0F2-DD54-4F23-8C48-FB213A6C3543}"/>
            </a:ext>
            <a:ext uri="{C183D7F6-B498-43B3-948B-1728B52AA6E4}">
              <adec:decorative xmlns:adec="http://schemas.microsoft.com/office/drawing/2017/decorative" val="1"/>
            </a:ext>
          </a:extLst>
        </xdr:cNvPr>
        <xdr:cNvPicPr>
          <a:picLocks noChangeAspect="1"/>
        </xdr:cNvPicPr>
      </xdr:nvPicPr>
      <xdr:blipFill>
        <a:blip xmlns:r="http://schemas.openxmlformats.org/officeDocument/2006/relationships" r:embed="rId3"/>
        <a:stretch>
          <a:fillRect/>
        </a:stretch>
      </xdr:blipFill>
      <xdr:spPr>
        <a:xfrm>
          <a:off x="8105775" y="4886324"/>
          <a:ext cx="3324507" cy="18288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21</xdr:col>
      <xdr:colOff>1200977</xdr:colOff>
      <xdr:row>34</xdr:row>
      <xdr:rowOff>112671</xdr:rowOff>
    </xdr:from>
    <xdr:to>
      <xdr:col>27</xdr:col>
      <xdr:colOff>27001</xdr:colOff>
      <xdr:row>42</xdr:row>
      <xdr:rowOff>157370</xdr:rowOff>
    </xdr:to>
    <xdr:graphicFrame macro="">
      <xdr:nvGraphicFramePr>
        <xdr:cNvPr id="23" name="Badge questions" descr="Pie chart illustrating badge progress.">
          <a:extLst>
            <a:ext uri="{FF2B5EF4-FFF2-40B4-BE49-F238E27FC236}">
              <a16:creationId xmlns:a16="http://schemas.microsoft.com/office/drawing/2014/main" id="{78943C93-6812-4837-955D-6946C70C5BD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20</xdr:col>
      <xdr:colOff>126979</xdr:colOff>
      <xdr:row>5</xdr:row>
      <xdr:rowOff>9461</xdr:rowOff>
    </xdr:from>
    <xdr:to>
      <xdr:col>21</xdr:col>
      <xdr:colOff>909494</xdr:colOff>
      <xdr:row>7</xdr:row>
      <xdr:rowOff>16406</xdr:rowOff>
    </xdr:to>
    <xdr:pic>
      <xdr:nvPicPr>
        <xdr:cNvPr id="8" name="Kiki">
          <a:extLst>
            <a:ext uri="{FF2B5EF4-FFF2-40B4-BE49-F238E27FC236}">
              <a16:creationId xmlns:a16="http://schemas.microsoft.com/office/drawing/2014/main" id="{6FF956DA-3C13-4E35-B978-0EA361AE6BDE}"/>
            </a:ext>
            <a:ext uri="{147F2762-F138-4A5C-976F-8EAC2B608ADB}">
              <a16:predDERef xmlns:a16="http://schemas.microsoft.com/office/drawing/2014/main" pred="{8361D5DF-3055-483D-A36B-6D9D7C788E42}"/>
            </a:ext>
            <a:ext uri="{C183D7F6-B498-43B3-948B-1728B52AA6E4}">
              <adec:decorative xmlns:adec="http://schemas.microsoft.com/office/drawing/2017/decorative" val="1"/>
            </a:ext>
          </a:extLst>
        </xdr:cNvPr>
        <xdr:cNvPicPr>
          <a:picLocks noChangeAspect="1"/>
        </xdr:cNvPicPr>
      </xdr:nvPicPr>
      <xdr:blipFill>
        <a:blip xmlns:r="http://schemas.openxmlformats.org/officeDocument/2006/relationships" r:embed="rId2"/>
        <a:stretch>
          <a:fillRect/>
        </a:stretch>
      </xdr:blipFill>
      <xdr:spPr>
        <a:xfrm>
          <a:off x="8144544" y="1193874"/>
          <a:ext cx="923320" cy="387945"/>
        </a:xfrm>
        <a:prstGeom prst="rect">
          <a:avLst/>
        </a:prstGeom>
      </xdr:spPr>
    </xdr:pic>
    <xdr:clientData/>
  </xdr:twoCellAnchor>
  <xdr:twoCellAnchor editAs="oneCell">
    <xdr:from>
      <xdr:col>21</xdr:col>
      <xdr:colOff>28574</xdr:colOff>
      <xdr:row>27</xdr:row>
      <xdr:rowOff>12</xdr:rowOff>
    </xdr:from>
    <xdr:to>
      <xdr:col>21</xdr:col>
      <xdr:colOff>866775</xdr:colOff>
      <xdr:row>28</xdr:row>
      <xdr:rowOff>184628</xdr:rowOff>
    </xdr:to>
    <xdr:pic>
      <xdr:nvPicPr>
        <xdr:cNvPr id="14" name="Sibling3">
          <a:extLst>
            <a:ext uri="{FF2B5EF4-FFF2-40B4-BE49-F238E27FC236}">
              <a16:creationId xmlns:a16="http://schemas.microsoft.com/office/drawing/2014/main" id="{DFDC46BC-E85D-4FC3-8F8F-A3EFEAC766D4}"/>
            </a:ext>
            <a:ext uri="{147F2762-F138-4A5C-976F-8EAC2B608ADB}">
              <a16:predDERef xmlns:a16="http://schemas.microsoft.com/office/drawing/2014/main" pred="{024884AE-C0D2-4C82-B6AA-0D2A142DEF6F}"/>
            </a:ext>
            <a:ext uri="{C183D7F6-B498-43B3-948B-1728B52AA6E4}">
              <adec:decorative xmlns:adec="http://schemas.microsoft.com/office/drawing/2017/decorative" val="1"/>
            </a:ext>
          </a:extLst>
        </xdr:cNvPr>
        <xdr:cNvPicPr>
          <a:picLocks noChangeAspect="1"/>
        </xdr:cNvPicPr>
      </xdr:nvPicPr>
      <xdr:blipFill>
        <a:blip xmlns:r="http://schemas.openxmlformats.org/officeDocument/2006/relationships" r:embed="rId3"/>
        <a:stretch>
          <a:fillRect/>
        </a:stretch>
      </xdr:blipFill>
      <xdr:spPr>
        <a:xfrm flipH="1">
          <a:off x="8229599" y="3514737"/>
          <a:ext cx="838201" cy="375116"/>
        </a:xfrm>
        <a:prstGeom prst="rect">
          <a:avLst/>
        </a:prstGeom>
      </xdr:spPr>
    </xdr:pic>
    <xdr:clientData/>
  </xdr:twoCellAnchor>
  <xdr:twoCellAnchor editAs="oneCell">
    <xdr:from>
      <xdr:col>21</xdr:col>
      <xdr:colOff>0</xdr:colOff>
      <xdr:row>20</xdr:row>
      <xdr:rowOff>19050</xdr:rowOff>
    </xdr:from>
    <xdr:to>
      <xdr:col>21</xdr:col>
      <xdr:colOff>955505</xdr:colOff>
      <xdr:row>22</xdr:row>
      <xdr:rowOff>3810</xdr:rowOff>
    </xdr:to>
    <xdr:pic>
      <xdr:nvPicPr>
        <xdr:cNvPr id="16" name="Sibling2">
          <a:extLst>
            <a:ext uri="{FF2B5EF4-FFF2-40B4-BE49-F238E27FC236}">
              <a16:creationId xmlns:a16="http://schemas.microsoft.com/office/drawing/2014/main" id="{946E29D4-94F1-4FAD-9B1E-CF71DC6FD3E9}"/>
            </a:ext>
            <a:ext uri="{147F2762-F138-4A5C-976F-8EAC2B608ADB}">
              <a16:predDERef xmlns:a16="http://schemas.microsoft.com/office/drawing/2014/main" pred="{61A1385D-64E3-4E1E-954D-8859C715FE1C}"/>
            </a:ext>
            <a:ext uri="{C183D7F6-B498-43B3-948B-1728B52AA6E4}">
              <adec:decorative xmlns:adec="http://schemas.microsoft.com/office/drawing/2017/decorative" val="1"/>
            </a:ext>
          </a:extLst>
        </xdr:cNvPr>
        <xdr:cNvPicPr>
          <a:picLocks noChangeAspect="1"/>
        </xdr:cNvPicPr>
      </xdr:nvPicPr>
      <xdr:blipFill>
        <a:blip xmlns:r="http://schemas.openxmlformats.org/officeDocument/2006/relationships" r:embed="rId4"/>
        <a:stretch>
          <a:fillRect/>
        </a:stretch>
      </xdr:blipFill>
      <xdr:spPr>
        <a:xfrm flipH="1">
          <a:off x="8201025" y="2447925"/>
          <a:ext cx="955505" cy="365760"/>
        </a:xfrm>
        <a:prstGeom prst="rect">
          <a:avLst/>
        </a:prstGeom>
      </xdr:spPr>
    </xdr:pic>
    <xdr:clientData/>
  </xdr:twoCellAnchor>
  <xdr:twoCellAnchor editAs="oneCell">
    <xdr:from>
      <xdr:col>21</xdr:col>
      <xdr:colOff>19051</xdr:colOff>
      <xdr:row>13</xdr:row>
      <xdr:rowOff>14490</xdr:rowOff>
    </xdr:from>
    <xdr:to>
      <xdr:col>21</xdr:col>
      <xdr:colOff>974556</xdr:colOff>
      <xdr:row>14</xdr:row>
      <xdr:rowOff>189750</xdr:rowOff>
    </xdr:to>
    <xdr:pic>
      <xdr:nvPicPr>
        <xdr:cNvPr id="12" name="Sibling1">
          <a:extLst>
            <a:ext uri="{FF2B5EF4-FFF2-40B4-BE49-F238E27FC236}">
              <a16:creationId xmlns:a16="http://schemas.microsoft.com/office/drawing/2014/main" id="{34DF652C-F5BF-4F95-BC54-20CC866AB22F}"/>
            </a:ext>
            <a:ext uri="{147F2762-F138-4A5C-976F-8EAC2B608ADB}">
              <a16:predDERef xmlns:a16="http://schemas.microsoft.com/office/drawing/2014/main" pred="{61A1385D-64E3-4E1E-954D-8859C715FE1C}"/>
            </a:ext>
            <a:ext uri="{C183D7F6-B498-43B3-948B-1728B52AA6E4}">
              <adec:decorative xmlns:adec="http://schemas.microsoft.com/office/drawing/2017/decorative" val="1"/>
            </a:ext>
          </a:extLst>
        </xdr:cNvPr>
        <xdr:cNvPicPr>
          <a:picLocks noChangeAspect="1"/>
        </xdr:cNvPicPr>
      </xdr:nvPicPr>
      <xdr:blipFill>
        <a:blip xmlns:r="http://schemas.openxmlformats.org/officeDocument/2006/relationships" r:embed="rId4"/>
        <a:stretch>
          <a:fillRect/>
        </a:stretch>
      </xdr:blipFill>
      <xdr:spPr>
        <a:xfrm flipH="1">
          <a:off x="8177421" y="1198903"/>
          <a:ext cx="955505" cy="365760"/>
        </a:xfrm>
        <a:prstGeom prst="rect">
          <a:avLst/>
        </a:prstGeom>
      </xdr:spPr>
    </xdr:pic>
    <xdr:clientData/>
  </xdr:twoCellAnchor>
  <xdr:twoCellAnchor editAs="oneCell">
    <xdr:from>
      <xdr:col>12</xdr:col>
      <xdr:colOff>0</xdr:colOff>
      <xdr:row>24</xdr:row>
      <xdr:rowOff>65942</xdr:rowOff>
    </xdr:from>
    <xdr:to>
      <xdr:col>13</xdr:col>
      <xdr:colOff>285750</xdr:colOff>
      <xdr:row>28</xdr:row>
      <xdr:rowOff>149468</xdr:rowOff>
    </xdr:to>
    <xdr:pic>
      <xdr:nvPicPr>
        <xdr:cNvPr id="6" name="Dad">
          <a:extLst>
            <a:ext uri="{FF2B5EF4-FFF2-40B4-BE49-F238E27FC236}">
              <a16:creationId xmlns:a16="http://schemas.microsoft.com/office/drawing/2014/main" id="{930BEFCD-455F-4A5E-B1E3-73B60AF2069A}"/>
            </a:ext>
            <a:ext uri="{147F2762-F138-4A5C-976F-8EAC2B608ADB}">
              <a16:predDERef xmlns:a16="http://schemas.microsoft.com/office/drawing/2014/main" pred="{01675CC5-A2C3-4DAC-830A-6D54A4E41F82}"/>
            </a:ext>
            <a:ext uri="{C183D7F6-B498-43B3-948B-1728B52AA6E4}">
              <adec:decorative xmlns:adec="http://schemas.microsoft.com/office/drawing/2017/decorative" val="1"/>
            </a:ext>
          </a:extLst>
        </xdr:cNvPr>
        <xdr:cNvPicPr>
          <a:picLocks noChangeAspect="1"/>
        </xdr:cNvPicPr>
      </xdr:nvPicPr>
      <xdr:blipFill>
        <a:blip xmlns:r="http://schemas.openxmlformats.org/officeDocument/2006/relationships" r:embed="rId5"/>
        <a:stretch>
          <a:fillRect/>
        </a:stretch>
      </xdr:blipFill>
      <xdr:spPr>
        <a:xfrm>
          <a:off x="4248150" y="7104917"/>
          <a:ext cx="1905000" cy="797902"/>
        </a:xfrm>
        <a:prstGeom prst="rect">
          <a:avLst/>
        </a:prstGeom>
      </xdr:spPr>
    </xdr:pic>
    <xdr:clientData/>
  </xdr:twoCellAnchor>
  <xdr:twoCellAnchor editAs="oneCell">
    <xdr:from>
      <xdr:col>12</xdr:col>
      <xdr:colOff>26918</xdr:colOff>
      <xdr:row>14</xdr:row>
      <xdr:rowOff>38936</xdr:rowOff>
    </xdr:from>
    <xdr:to>
      <xdr:col>12</xdr:col>
      <xdr:colOff>1577422</xdr:colOff>
      <xdr:row>17</xdr:row>
      <xdr:rowOff>106456</xdr:rowOff>
    </xdr:to>
    <xdr:pic>
      <xdr:nvPicPr>
        <xdr:cNvPr id="13" name="Mom">
          <a:extLst>
            <a:ext uri="{FF2B5EF4-FFF2-40B4-BE49-F238E27FC236}">
              <a16:creationId xmlns:a16="http://schemas.microsoft.com/office/drawing/2014/main" id="{972C4F46-8893-4EC4-98FF-A6A9CDF326BC}"/>
            </a:ext>
            <a:ext uri="{147F2762-F138-4A5C-976F-8EAC2B608ADB}">
              <a16:predDERef xmlns:a16="http://schemas.microsoft.com/office/drawing/2014/main" pred="{24A41DF8-4257-49B9-8978-AA10B32836C1}"/>
            </a:ext>
            <a:ext uri="{C183D7F6-B498-43B3-948B-1728B52AA6E4}">
              <adec:decorative xmlns:adec="http://schemas.microsoft.com/office/drawing/2017/decorative" val="1"/>
            </a:ext>
          </a:extLst>
        </xdr:cNvPr>
        <xdr:cNvPicPr>
          <a:picLocks noChangeAspect="1"/>
        </xdr:cNvPicPr>
      </xdr:nvPicPr>
      <xdr:blipFill>
        <a:blip xmlns:r="http://schemas.openxmlformats.org/officeDocument/2006/relationships" r:embed="rId6"/>
        <a:stretch>
          <a:fillRect/>
        </a:stretch>
      </xdr:blipFill>
      <xdr:spPr>
        <a:xfrm flipH="1">
          <a:off x="4251048" y="2507153"/>
          <a:ext cx="1550504" cy="639020"/>
        </a:xfrm>
        <a:prstGeom prst="rect">
          <a:avLst/>
        </a:prstGeom>
      </xdr:spPr>
    </xdr:pic>
    <xdr:clientData/>
  </xdr:twoCellAnchor>
  <xdr:twoCellAnchor editAs="oneCell">
    <xdr:from>
      <xdr:col>4</xdr:col>
      <xdr:colOff>58615</xdr:colOff>
      <xdr:row>20</xdr:row>
      <xdr:rowOff>80596</xdr:rowOff>
    </xdr:from>
    <xdr:to>
      <xdr:col>5</xdr:col>
      <xdr:colOff>359019</xdr:colOff>
      <xdr:row>25</xdr:row>
      <xdr:rowOff>127490</xdr:rowOff>
    </xdr:to>
    <xdr:pic>
      <xdr:nvPicPr>
        <xdr:cNvPr id="3" name="Grandpa">
          <a:extLst>
            <a:ext uri="{FF2B5EF4-FFF2-40B4-BE49-F238E27FC236}">
              <a16:creationId xmlns:a16="http://schemas.microsoft.com/office/drawing/2014/main" id="{C0B632A4-E205-42DF-85C6-5DDA5A60A14C}"/>
            </a:ext>
            <a:ext uri="{147F2762-F138-4A5C-976F-8EAC2B608ADB}">
              <a16:predDERef xmlns:a16="http://schemas.microsoft.com/office/drawing/2014/main" pred="{01675CC5-A2C3-4DAC-830A-6D54A4E41F82}"/>
            </a:ext>
            <a:ext uri="{C183D7F6-B498-43B3-948B-1728B52AA6E4}">
              <adec:decorative xmlns:adec="http://schemas.microsoft.com/office/drawing/2017/decorative" val="1"/>
            </a:ext>
          </a:extLst>
        </xdr:cNvPr>
        <xdr:cNvPicPr>
          <a:picLocks noChangeAspect="1"/>
        </xdr:cNvPicPr>
      </xdr:nvPicPr>
      <xdr:blipFill>
        <a:blip xmlns:r="http://schemas.openxmlformats.org/officeDocument/2006/relationships" r:embed="rId5"/>
        <a:stretch>
          <a:fillRect/>
        </a:stretch>
      </xdr:blipFill>
      <xdr:spPr>
        <a:xfrm>
          <a:off x="496765" y="6557596"/>
          <a:ext cx="1919654" cy="799368"/>
        </a:xfrm>
        <a:prstGeom prst="rect">
          <a:avLst/>
        </a:prstGeom>
      </xdr:spPr>
    </xdr:pic>
    <xdr:clientData/>
  </xdr:twoCellAnchor>
  <xdr:twoCellAnchor editAs="oneCell">
    <xdr:from>
      <xdr:col>3</xdr:col>
      <xdr:colOff>114300</xdr:colOff>
      <xdr:row>11</xdr:row>
      <xdr:rowOff>9525</xdr:rowOff>
    </xdr:from>
    <xdr:to>
      <xdr:col>4</xdr:col>
      <xdr:colOff>1514475</xdr:colOff>
      <xdr:row>14</xdr:row>
      <xdr:rowOff>124671</xdr:rowOff>
    </xdr:to>
    <xdr:pic>
      <xdr:nvPicPr>
        <xdr:cNvPr id="15" name="Grandma">
          <a:extLst>
            <a:ext uri="{FF2B5EF4-FFF2-40B4-BE49-F238E27FC236}">
              <a16:creationId xmlns:a16="http://schemas.microsoft.com/office/drawing/2014/main" id="{B2A5E798-8169-4B2D-88A4-8C4414379097}"/>
            </a:ext>
            <a:ext uri="{147F2762-F138-4A5C-976F-8EAC2B608ADB}">
              <a16:predDERef xmlns:a16="http://schemas.microsoft.com/office/drawing/2014/main" pred="{24A41DF8-4257-49B9-8978-AA10B32836C1}"/>
            </a:ext>
            <a:ext uri="{C183D7F6-B498-43B3-948B-1728B52AA6E4}">
              <adec:decorative xmlns:adec="http://schemas.microsoft.com/office/drawing/2017/decorative" val="1"/>
            </a:ext>
          </a:extLst>
        </xdr:cNvPr>
        <xdr:cNvPicPr>
          <a:picLocks noChangeAspect="1"/>
        </xdr:cNvPicPr>
      </xdr:nvPicPr>
      <xdr:blipFill>
        <a:blip xmlns:r="http://schemas.openxmlformats.org/officeDocument/2006/relationships" r:embed="rId6"/>
        <a:stretch>
          <a:fillRect/>
        </a:stretch>
      </xdr:blipFill>
      <xdr:spPr>
        <a:xfrm flipH="1">
          <a:off x="400050" y="2105025"/>
          <a:ext cx="1552575" cy="63902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10</xdr:col>
      <xdr:colOff>495300</xdr:colOff>
      <xdr:row>5</xdr:row>
      <xdr:rowOff>37802</xdr:rowOff>
    </xdr:from>
    <xdr:to>
      <xdr:col>13</xdr:col>
      <xdr:colOff>752475</xdr:colOff>
      <xdr:row>8</xdr:row>
      <xdr:rowOff>104775</xdr:rowOff>
    </xdr:to>
    <xdr:pic>
      <xdr:nvPicPr>
        <xdr:cNvPr id="25" name="Orca1">
          <a:extLst>
            <a:ext uri="{FF2B5EF4-FFF2-40B4-BE49-F238E27FC236}">
              <a16:creationId xmlns:a16="http://schemas.microsoft.com/office/drawing/2014/main" id="{7D13F830-79F4-42D6-B704-1C900BF7EC85}"/>
            </a:ext>
            <a:ext uri="{147F2762-F138-4A5C-976F-8EAC2B608ADB}">
              <a16:predDERef xmlns:a16="http://schemas.microsoft.com/office/drawing/2014/main" pred="{F187903D-062D-4D21-84A0-D1255645A54F}"/>
            </a:ext>
            <a:ext uri="{C183D7F6-B498-43B3-948B-1728B52AA6E4}">
              <adec:decorative xmlns:adec="http://schemas.microsoft.com/office/drawing/2017/decorative" val="1"/>
            </a:ext>
          </a:extLst>
        </xdr:cNvPr>
        <xdr:cNvPicPr>
          <a:picLocks noChangeAspect="1"/>
        </xdr:cNvPicPr>
      </xdr:nvPicPr>
      <xdr:blipFill>
        <a:blip xmlns:r="http://schemas.openxmlformats.org/officeDocument/2006/relationships" r:embed="rId1"/>
        <a:stretch>
          <a:fillRect/>
        </a:stretch>
      </xdr:blipFill>
      <xdr:spPr>
        <a:xfrm>
          <a:off x="9258300" y="1466552"/>
          <a:ext cx="1685925" cy="943273"/>
        </a:xfrm>
        <a:prstGeom prst="rect">
          <a:avLst/>
        </a:prstGeom>
      </xdr:spPr>
    </xdr:pic>
    <xdr:clientData/>
  </xdr:twoCellAnchor>
  <xdr:twoCellAnchor editAs="oneCell">
    <xdr:from>
      <xdr:col>5</xdr:col>
      <xdr:colOff>0</xdr:colOff>
      <xdr:row>6</xdr:row>
      <xdr:rowOff>219076</xdr:rowOff>
    </xdr:from>
    <xdr:to>
      <xdr:col>6</xdr:col>
      <xdr:colOff>419100</xdr:colOff>
      <xdr:row>8</xdr:row>
      <xdr:rowOff>127894</xdr:rowOff>
    </xdr:to>
    <xdr:pic>
      <xdr:nvPicPr>
        <xdr:cNvPr id="22" name="Orca3">
          <a:extLst>
            <a:ext uri="{FF2B5EF4-FFF2-40B4-BE49-F238E27FC236}">
              <a16:creationId xmlns:a16="http://schemas.microsoft.com/office/drawing/2014/main" id="{4FD699DD-FDCC-4BB6-B2B2-B767CF2C6527}"/>
            </a:ext>
            <a:ext uri="{147F2762-F138-4A5C-976F-8EAC2B608ADB}">
              <a16:predDERef xmlns:a16="http://schemas.microsoft.com/office/drawing/2014/main" pred="{7D13F830-79F4-42D6-B704-1C900BF7EC85}"/>
            </a:ext>
            <a:ext uri="{C183D7F6-B498-43B3-948B-1728B52AA6E4}">
              <adec:decorative xmlns:adec="http://schemas.microsoft.com/office/drawing/2017/decorative" val="1"/>
            </a:ext>
          </a:extLst>
        </xdr:cNvPr>
        <xdr:cNvPicPr>
          <a:picLocks noChangeAspect="1"/>
        </xdr:cNvPicPr>
      </xdr:nvPicPr>
      <xdr:blipFill>
        <a:blip xmlns:r="http://schemas.openxmlformats.org/officeDocument/2006/relationships" r:embed="rId2"/>
        <a:stretch>
          <a:fillRect/>
        </a:stretch>
      </xdr:blipFill>
      <xdr:spPr>
        <a:xfrm>
          <a:off x="3190875" y="2019301"/>
          <a:ext cx="1419225" cy="546993"/>
        </a:xfrm>
        <a:prstGeom prst="rect">
          <a:avLst/>
        </a:prstGeom>
      </xdr:spPr>
    </xdr:pic>
    <xdr:clientData/>
  </xdr:twoCellAnchor>
  <xdr:twoCellAnchor editAs="oneCell">
    <xdr:from>
      <xdr:col>7</xdr:col>
      <xdr:colOff>800101</xdr:colOff>
      <xdr:row>6</xdr:row>
      <xdr:rowOff>161926</xdr:rowOff>
    </xdr:from>
    <xdr:to>
      <xdr:col>8</xdr:col>
      <xdr:colOff>542925</xdr:colOff>
      <xdr:row>8</xdr:row>
      <xdr:rowOff>69838</xdr:rowOff>
    </xdr:to>
    <xdr:pic>
      <xdr:nvPicPr>
        <xdr:cNvPr id="21" name="Orca2">
          <a:extLst>
            <a:ext uri="{FF2B5EF4-FFF2-40B4-BE49-F238E27FC236}">
              <a16:creationId xmlns:a16="http://schemas.microsoft.com/office/drawing/2014/main" id="{40B7DEE5-8EBD-4913-9190-CA3526F515AE}"/>
            </a:ext>
            <a:ext uri="{147F2762-F138-4A5C-976F-8EAC2B608ADB}">
              <a16:predDERef xmlns:a16="http://schemas.microsoft.com/office/drawing/2014/main" pred="{4FD699DD-FDCC-4BB6-B2B2-B767CF2C6527}"/>
            </a:ext>
            <a:ext uri="{C183D7F6-B498-43B3-948B-1728B52AA6E4}">
              <adec:decorative xmlns:adec="http://schemas.microsoft.com/office/drawing/2017/decorative" val="1"/>
            </a:ext>
          </a:extLst>
        </xdr:cNvPr>
        <xdr:cNvPicPr>
          <a:picLocks noChangeAspect="1"/>
        </xdr:cNvPicPr>
      </xdr:nvPicPr>
      <xdr:blipFill>
        <a:blip xmlns:r="http://schemas.openxmlformats.org/officeDocument/2006/relationships" r:embed="rId3"/>
        <a:stretch>
          <a:fillRect/>
        </a:stretch>
      </xdr:blipFill>
      <xdr:spPr>
        <a:xfrm>
          <a:off x="6410326" y="1962151"/>
          <a:ext cx="1314449" cy="546087"/>
        </a:xfrm>
        <a:prstGeom prst="rect">
          <a:avLst/>
        </a:prstGeom>
      </xdr:spPr>
    </xdr:pic>
    <xdr:clientData/>
  </xdr:twoCellAnchor>
  <xdr:twoCellAnchor>
    <xdr:from>
      <xdr:col>3</xdr:col>
      <xdr:colOff>0</xdr:colOff>
      <xdr:row>22</xdr:row>
      <xdr:rowOff>3810</xdr:rowOff>
    </xdr:from>
    <xdr:to>
      <xdr:col>5</xdr:col>
      <xdr:colOff>2286</xdr:colOff>
      <xdr:row>23</xdr:row>
      <xdr:rowOff>0</xdr:rowOff>
    </xdr:to>
    <xdr:graphicFrame macro="">
      <xdr:nvGraphicFramePr>
        <xdr:cNvPr id="6" name="Chart 5" descr="Chart showing picture of animal">
          <a:extLst>
            <a:ext uri="{FF2B5EF4-FFF2-40B4-BE49-F238E27FC236}">
              <a16:creationId xmlns:a16="http://schemas.microsoft.com/office/drawing/2014/main" id="{F0DB4C0D-E7CE-445D-A090-BE7E687B57D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5</xdr:col>
      <xdr:colOff>1</xdr:colOff>
      <xdr:row>18</xdr:row>
      <xdr:rowOff>0</xdr:rowOff>
    </xdr:from>
    <xdr:to>
      <xdr:col>14</xdr:col>
      <xdr:colOff>0</xdr:colOff>
      <xdr:row>24</xdr:row>
      <xdr:rowOff>0</xdr:rowOff>
    </xdr:to>
    <xdr:graphicFrame macro="">
      <xdr:nvGraphicFramePr>
        <xdr:cNvPr id="8" name="Chart 7" descr="Chart showing taxonomy tree">
          <a:extLst>
            <a:ext uri="{FF2B5EF4-FFF2-40B4-BE49-F238E27FC236}">
              <a16:creationId xmlns:a16="http://schemas.microsoft.com/office/drawing/2014/main" id="{A146F660-C7C3-481F-BE15-1222F8BA6C4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wsDr>
</file>

<file path=xl/drawings/drawing7.xml><?xml version="1.0" encoding="utf-8"?>
<xdr:wsDr xmlns:xdr="http://schemas.openxmlformats.org/drawingml/2006/spreadsheetDrawing" xmlns:a="http://schemas.openxmlformats.org/drawingml/2006/main">
  <xdr:twoCellAnchor>
    <xdr:from>
      <xdr:col>23</xdr:col>
      <xdr:colOff>429073</xdr:colOff>
      <xdr:row>69</xdr:row>
      <xdr:rowOff>0</xdr:rowOff>
    </xdr:from>
    <xdr:to>
      <xdr:col>28</xdr:col>
      <xdr:colOff>276899</xdr:colOff>
      <xdr:row>79</xdr:row>
      <xdr:rowOff>95250</xdr:rowOff>
    </xdr:to>
    <xdr:graphicFrame macro="">
      <xdr:nvGraphicFramePr>
        <xdr:cNvPr id="8" name="Badge questions" descr="Pie chart illustrating badge progress.">
          <a:extLst>
            <a:ext uri="{FF2B5EF4-FFF2-40B4-BE49-F238E27FC236}">
              <a16:creationId xmlns:a16="http://schemas.microsoft.com/office/drawing/2014/main" id="{D6910E42-2C67-416C-995E-1958F36B3AE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6</xdr:col>
      <xdr:colOff>82501</xdr:colOff>
      <xdr:row>11</xdr:row>
      <xdr:rowOff>66675</xdr:rowOff>
    </xdr:from>
    <xdr:to>
      <xdr:col>7</xdr:col>
      <xdr:colOff>19050</xdr:colOff>
      <xdr:row>15</xdr:row>
      <xdr:rowOff>276225</xdr:rowOff>
    </xdr:to>
    <xdr:pic>
      <xdr:nvPicPr>
        <xdr:cNvPr id="5" name="Picture 4" descr="Picture of orca">
          <a:extLst>
            <a:ext uri="{FF2B5EF4-FFF2-40B4-BE49-F238E27FC236}">
              <a16:creationId xmlns:a16="http://schemas.microsoft.com/office/drawing/2014/main" id="{41BDEAAD-03B2-406C-9C46-7B2DCD744F3E}"/>
            </a:ext>
          </a:extLst>
        </xdr:cNvPr>
        <xdr:cNvPicPr>
          <a:picLocks noChangeAspect="1"/>
        </xdr:cNvPicPr>
      </xdr:nvPicPr>
      <xdr:blipFill rotWithShape="1">
        <a:blip xmlns:r="http://schemas.openxmlformats.org/officeDocument/2006/relationships" r:embed="rId2"/>
        <a:srcRect l="2887" r="8824"/>
        <a:stretch/>
      </xdr:blipFill>
      <xdr:spPr>
        <a:xfrm>
          <a:off x="2720926" y="2209800"/>
          <a:ext cx="1222424" cy="923925"/>
        </a:xfrm>
        <a:prstGeom prst="rect">
          <a:avLst/>
        </a:prstGeom>
      </xdr:spPr>
    </xdr:pic>
    <xdr:clientData/>
  </xdr:twoCellAnchor>
  <xdr:twoCellAnchor editAs="oneCell">
    <xdr:from>
      <xdr:col>6</xdr:col>
      <xdr:colOff>63451</xdr:colOff>
      <xdr:row>18</xdr:row>
      <xdr:rowOff>0</xdr:rowOff>
    </xdr:from>
    <xdr:to>
      <xdr:col>7</xdr:col>
      <xdr:colOff>0</xdr:colOff>
      <xdr:row>22</xdr:row>
      <xdr:rowOff>19050</xdr:rowOff>
    </xdr:to>
    <xdr:pic>
      <xdr:nvPicPr>
        <xdr:cNvPr id="6" name="Picture 5" descr="Picture of orca">
          <a:extLst>
            <a:ext uri="{FF2B5EF4-FFF2-40B4-BE49-F238E27FC236}">
              <a16:creationId xmlns:a16="http://schemas.microsoft.com/office/drawing/2014/main" id="{2FAD00B6-46DE-492C-92F2-33A825D4AB54}"/>
            </a:ext>
          </a:extLst>
        </xdr:cNvPr>
        <xdr:cNvPicPr>
          <a:picLocks noChangeAspect="1"/>
        </xdr:cNvPicPr>
      </xdr:nvPicPr>
      <xdr:blipFill rotWithShape="1">
        <a:blip xmlns:r="http://schemas.openxmlformats.org/officeDocument/2006/relationships" r:embed="rId2"/>
        <a:srcRect l="2887" r="8824"/>
        <a:stretch/>
      </xdr:blipFill>
      <xdr:spPr>
        <a:xfrm>
          <a:off x="2368501" y="3333750"/>
          <a:ext cx="1222424" cy="923925"/>
        </a:xfrm>
        <a:prstGeom prst="rect">
          <a:avLst/>
        </a:prstGeom>
      </xdr:spPr>
    </xdr:pic>
    <xdr:clientData/>
  </xdr:twoCellAnchor>
  <xdr:twoCellAnchor editAs="oneCell">
    <xdr:from>
      <xdr:col>6</xdr:col>
      <xdr:colOff>63451</xdr:colOff>
      <xdr:row>24</xdr:row>
      <xdr:rowOff>0</xdr:rowOff>
    </xdr:from>
    <xdr:to>
      <xdr:col>7</xdr:col>
      <xdr:colOff>0</xdr:colOff>
      <xdr:row>28</xdr:row>
      <xdr:rowOff>19050</xdr:rowOff>
    </xdr:to>
    <xdr:pic>
      <xdr:nvPicPr>
        <xdr:cNvPr id="7" name="Picture 6" descr="Picture of orca">
          <a:extLst>
            <a:ext uri="{FF2B5EF4-FFF2-40B4-BE49-F238E27FC236}">
              <a16:creationId xmlns:a16="http://schemas.microsoft.com/office/drawing/2014/main" id="{E5C8BBEC-0625-4F61-AA61-BE606B4355D2}"/>
            </a:ext>
          </a:extLst>
        </xdr:cNvPr>
        <xdr:cNvPicPr>
          <a:picLocks noChangeAspect="1"/>
        </xdr:cNvPicPr>
      </xdr:nvPicPr>
      <xdr:blipFill rotWithShape="1">
        <a:blip xmlns:r="http://schemas.openxmlformats.org/officeDocument/2006/relationships" r:embed="rId2"/>
        <a:srcRect l="2887" r="8824"/>
        <a:stretch/>
      </xdr:blipFill>
      <xdr:spPr>
        <a:xfrm>
          <a:off x="2368501" y="4429125"/>
          <a:ext cx="1222424" cy="923925"/>
        </a:xfrm>
        <a:prstGeom prst="rect">
          <a:avLst/>
        </a:prstGeom>
      </xdr:spPr>
    </xdr:pic>
    <xdr:clientData/>
  </xdr:twoCellAnchor>
  <xdr:twoCellAnchor editAs="oneCell">
    <xdr:from>
      <xdr:col>6</xdr:col>
      <xdr:colOff>63451</xdr:colOff>
      <xdr:row>30</xdr:row>
      <xdr:rowOff>0</xdr:rowOff>
    </xdr:from>
    <xdr:to>
      <xdr:col>7</xdr:col>
      <xdr:colOff>0</xdr:colOff>
      <xdr:row>34</xdr:row>
      <xdr:rowOff>19050</xdr:rowOff>
    </xdr:to>
    <xdr:pic>
      <xdr:nvPicPr>
        <xdr:cNvPr id="9" name="Picture 8" descr="Picture of orca">
          <a:extLst>
            <a:ext uri="{FF2B5EF4-FFF2-40B4-BE49-F238E27FC236}">
              <a16:creationId xmlns:a16="http://schemas.microsoft.com/office/drawing/2014/main" id="{8EBD530F-9798-4751-AA3B-8F62BE282427}"/>
            </a:ext>
          </a:extLst>
        </xdr:cNvPr>
        <xdr:cNvPicPr>
          <a:picLocks noChangeAspect="1"/>
        </xdr:cNvPicPr>
      </xdr:nvPicPr>
      <xdr:blipFill rotWithShape="1">
        <a:blip xmlns:r="http://schemas.openxmlformats.org/officeDocument/2006/relationships" r:embed="rId2"/>
        <a:srcRect l="2887" r="8824"/>
        <a:stretch/>
      </xdr:blipFill>
      <xdr:spPr>
        <a:xfrm>
          <a:off x="2368501" y="5524500"/>
          <a:ext cx="1222424" cy="923925"/>
        </a:xfrm>
        <a:prstGeom prst="rect">
          <a:avLst/>
        </a:prstGeom>
      </xdr:spPr>
    </xdr:pic>
    <xdr:clientData/>
  </xdr:twoCellAnchor>
  <xdr:twoCellAnchor editAs="oneCell">
    <xdr:from>
      <xdr:col>6</xdr:col>
      <xdr:colOff>63451</xdr:colOff>
      <xdr:row>36</xdr:row>
      <xdr:rowOff>0</xdr:rowOff>
    </xdr:from>
    <xdr:to>
      <xdr:col>7</xdr:col>
      <xdr:colOff>0</xdr:colOff>
      <xdr:row>40</xdr:row>
      <xdr:rowOff>19050</xdr:rowOff>
    </xdr:to>
    <xdr:pic>
      <xdr:nvPicPr>
        <xdr:cNvPr id="10" name="Picture 9" descr="Picture of orca">
          <a:extLst>
            <a:ext uri="{FF2B5EF4-FFF2-40B4-BE49-F238E27FC236}">
              <a16:creationId xmlns:a16="http://schemas.microsoft.com/office/drawing/2014/main" id="{E2F0BA55-9673-4835-B605-C4D2BF726460}"/>
            </a:ext>
          </a:extLst>
        </xdr:cNvPr>
        <xdr:cNvPicPr>
          <a:picLocks noChangeAspect="1"/>
        </xdr:cNvPicPr>
      </xdr:nvPicPr>
      <xdr:blipFill rotWithShape="1">
        <a:blip xmlns:r="http://schemas.openxmlformats.org/officeDocument/2006/relationships" r:embed="rId2"/>
        <a:srcRect l="2887" r="8824"/>
        <a:stretch/>
      </xdr:blipFill>
      <xdr:spPr>
        <a:xfrm>
          <a:off x="2368501" y="6619875"/>
          <a:ext cx="1222424" cy="923925"/>
        </a:xfrm>
        <a:prstGeom prst="rect">
          <a:avLst/>
        </a:prstGeom>
      </xdr:spPr>
    </xdr:pic>
    <xdr:clientData/>
  </xdr:twoCellAnchor>
  <xdr:twoCellAnchor editAs="oneCell">
    <xdr:from>
      <xdr:col>6</xdr:col>
      <xdr:colOff>63451</xdr:colOff>
      <xdr:row>42</xdr:row>
      <xdr:rowOff>0</xdr:rowOff>
    </xdr:from>
    <xdr:to>
      <xdr:col>7</xdr:col>
      <xdr:colOff>0</xdr:colOff>
      <xdr:row>46</xdr:row>
      <xdr:rowOff>19050</xdr:rowOff>
    </xdr:to>
    <xdr:pic>
      <xdr:nvPicPr>
        <xdr:cNvPr id="11" name="Picture 10" descr="Picture of orca">
          <a:extLst>
            <a:ext uri="{FF2B5EF4-FFF2-40B4-BE49-F238E27FC236}">
              <a16:creationId xmlns:a16="http://schemas.microsoft.com/office/drawing/2014/main" id="{B2DC204E-4F83-44AA-B8DC-DF7F4DCB84FC}"/>
            </a:ext>
          </a:extLst>
        </xdr:cNvPr>
        <xdr:cNvPicPr>
          <a:picLocks noChangeAspect="1"/>
        </xdr:cNvPicPr>
      </xdr:nvPicPr>
      <xdr:blipFill rotWithShape="1">
        <a:blip xmlns:r="http://schemas.openxmlformats.org/officeDocument/2006/relationships" r:embed="rId2"/>
        <a:srcRect l="2887" r="8824"/>
        <a:stretch/>
      </xdr:blipFill>
      <xdr:spPr>
        <a:xfrm>
          <a:off x="2368501" y="7715250"/>
          <a:ext cx="1222424" cy="923925"/>
        </a:xfrm>
        <a:prstGeom prst="rect">
          <a:avLst/>
        </a:prstGeom>
      </xdr:spPr>
    </xdr:pic>
    <xdr:clientData/>
  </xdr:twoCellAnchor>
  <xdr:twoCellAnchor editAs="oneCell">
    <xdr:from>
      <xdr:col>6</xdr:col>
      <xdr:colOff>63451</xdr:colOff>
      <xdr:row>48</xdr:row>
      <xdr:rowOff>0</xdr:rowOff>
    </xdr:from>
    <xdr:to>
      <xdr:col>7</xdr:col>
      <xdr:colOff>0</xdr:colOff>
      <xdr:row>52</xdr:row>
      <xdr:rowOff>19050</xdr:rowOff>
    </xdr:to>
    <xdr:pic>
      <xdr:nvPicPr>
        <xdr:cNvPr id="12" name="Picture 11" descr="Picture of orca">
          <a:extLst>
            <a:ext uri="{FF2B5EF4-FFF2-40B4-BE49-F238E27FC236}">
              <a16:creationId xmlns:a16="http://schemas.microsoft.com/office/drawing/2014/main" id="{D41ED574-463D-43EC-ADCB-A0AE1A398807}"/>
            </a:ext>
          </a:extLst>
        </xdr:cNvPr>
        <xdr:cNvPicPr>
          <a:picLocks noChangeAspect="1"/>
        </xdr:cNvPicPr>
      </xdr:nvPicPr>
      <xdr:blipFill rotWithShape="1">
        <a:blip xmlns:r="http://schemas.openxmlformats.org/officeDocument/2006/relationships" r:embed="rId2"/>
        <a:srcRect l="2887" r="8824"/>
        <a:stretch/>
      </xdr:blipFill>
      <xdr:spPr>
        <a:xfrm>
          <a:off x="2701876" y="8810625"/>
          <a:ext cx="1222424" cy="923925"/>
        </a:xfrm>
        <a:prstGeom prst="rect">
          <a:avLst/>
        </a:prstGeom>
      </xdr:spPr>
    </xdr:pic>
    <xdr:clientData/>
  </xdr:twoCellAnchor>
  <xdr:twoCellAnchor editAs="oneCell">
    <xdr:from>
      <xdr:col>6</xdr:col>
      <xdr:colOff>63451</xdr:colOff>
      <xdr:row>60</xdr:row>
      <xdr:rowOff>0</xdr:rowOff>
    </xdr:from>
    <xdr:to>
      <xdr:col>7</xdr:col>
      <xdr:colOff>0</xdr:colOff>
      <xdr:row>64</xdr:row>
      <xdr:rowOff>19050</xdr:rowOff>
    </xdr:to>
    <xdr:pic>
      <xdr:nvPicPr>
        <xdr:cNvPr id="13" name="Picture 12" descr="Picture of orca">
          <a:extLst>
            <a:ext uri="{FF2B5EF4-FFF2-40B4-BE49-F238E27FC236}">
              <a16:creationId xmlns:a16="http://schemas.microsoft.com/office/drawing/2014/main" id="{F74E7E46-C191-42F7-A168-2F28AD71D4C5}"/>
            </a:ext>
          </a:extLst>
        </xdr:cNvPr>
        <xdr:cNvPicPr>
          <a:picLocks noChangeAspect="1"/>
        </xdr:cNvPicPr>
      </xdr:nvPicPr>
      <xdr:blipFill rotWithShape="1">
        <a:blip xmlns:r="http://schemas.openxmlformats.org/officeDocument/2006/relationships" r:embed="rId2"/>
        <a:srcRect l="2887" r="8824"/>
        <a:stretch/>
      </xdr:blipFill>
      <xdr:spPr>
        <a:xfrm>
          <a:off x="2701876" y="9906000"/>
          <a:ext cx="1222424" cy="923925"/>
        </a:xfrm>
        <a:prstGeom prst="rect">
          <a:avLst/>
        </a:prstGeom>
      </xdr:spPr>
    </xdr:pic>
    <xdr:clientData/>
  </xdr:twoCellAnchor>
  <xdr:twoCellAnchor editAs="oneCell">
    <xdr:from>
      <xdr:col>8</xdr:col>
      <xdr:colOff>92530</xdr:colOff>
      <xdr:row>11</xdr:row>
      <xdr:rowOff>67056</xdr:rowOff>
    </xdr:from>
    <xdr:to>
      <xdr:col>9</xdr:col>
      <xdr:colOff>28575</xdr:colOff>
      <xdr:row>15</xdr:row>
      <xdr:rowOff>276225</xdr:rowOff>
    </xdr:to>
    <xdr:pic>
      <xdr:nvPicPr>
        <xdr:cNvPr id="14" name="Picture 13" descr="Picture of dolphin">
          <a:extLst>
            <a:ext uri="{FF2B5EF4-FFF2-40B4-BE49-F238E27FC236}">
              <a16:creationId xmlns:a16="http://schemas.microsoft.com/office/drawing/2014/main" id="{18B649EC-81F7-4107-A5B3-744B1F8AF4F9}"/>
            </a:ext>
          </a:extLst>
        </xdr:cNvPr>
        <xdr:cNvPicPr>
          <a:picLocks noChangeAspect="1"/>
        </xdr:cNvPicPr>
      </xdr:nvPicPr>
      <xdr:blipFill rotWithShape="1">
        <a:blip xmlns:r="http://schemas.openxmlformats.org/officeDocument/2006/relationships" r:embed="rId3"/>
        <a:srcRect r="4535"/>
        <a:stretch/>
      </xdr:blipFill>
      <xdr:spPr>
        <a:xfrm>
          <a:off x="4112080" y="2210181"/>
          <a:ext cx="1221920" cy="923544"/>
        </a:xfrm>
        <a:prstGeom prst="rect">
          <a:avLst/>
        </a:prstGeom>
      </xdr:spPr>
    </xdr:pic>
    <xdr:clientData/>
  </xdr:twoCellAnchor>
  <xdr:twoCellAnchor editAs="oneCell">
    <xdr:from>
      <xdr:col>8</xdr:col>
      <xdr:colOff>63955</xdr:colOff>
      <xdr:row>18</xdr:row>
      <xdr:rowOff>0</xdr:rowOff>
    </xdr:from>
    <xdr:to>
      <xdr:col>9</xdr:col>
      <xdr:colOff>0</xdr:colOff>
      <xdr:row>22</xdr:row>
      <xdr:rowOff>18669</xdr:rowOff>
    </xdr:to>
    <xdr:pic>
      <xdr:nvPicPr>
        <xdr:cNvPr id="15" name="Picture 14" descr="Picture of dolphin">
          <a:extLst>
            <a:ext uri="{FF2B5EF4-FFF2-40B4-BE49-F238E27FC236}">
              <a16:creationId xmlns:a16="http://schemas.microsoft.com/office/drawing/2014/main" id="{5418A0A2-21F9-4B57-B3DF-5E59CBDE5B25}"/>
            </a:ext>
          </a:extLst>
        </xdr:cNvPr>
        <xdr:cNvPicPr>
          <a:picLocks noChangeAspect="1"/>
        </xdr:cNvPicPr>
      </xdr:nvPicPr>
      <xdr:blipFill rotWithShape="1">
        <a:blip xmlns:r="http://schemas.openxmlformats.org/officeDocument/2006/relationships" r:embed="rId3"/>
        <a:srcRect r="4535"/>
        <a:stretch/>
      </xdr:blipFill>
      <xdr:spPr>
        <a:xfrm>
          <a:off x="3750130" y="3333750"/>
          <a:ext cx="1221920" cy="923544"/>
        </a:xfrm>
        <a:prstGeom prst="rect">
          <a:avLst/>
        </a:prstGeom>
      </xdr:spPr>
    </xdr:pic>
    <xdr:clientData/>
  </xdr:twoCellAnchor>
  <xdr:twoCellAnchor editAs="oneCell">
    <xdr:from>
      <xdr:col>8</xdr:col>
      <xdr:colOff>63955</xdr:colOff>
      <xdr:row>24</xdr:row>
      <xdr:rowOff>0</xdr:rowOff>
    </xdr:from>
    <xdr:to>
      <xdr:col>9</xdr:col>
      <xdr:colOff>0</xdr:colOff>
      <xdr:row>28</xdr:row>
      <xdr:rowOff>18669</xdr:rowOff>
    </xdr:to>
    <xdr:pic>
      <xdr:nvPicPr>
        <xdr:cNvPr id="16" name="Picture 15" descr="Picture of dolphin">
          <a:extLst>
            <a:ext uri="{FF2B5EF4-FFF2-40B4-BE49-F238E27FC236}">
              <a16:creationId xmlns:a16="http://schemas.microsoft.com/office/drawing/2014/main" id="{044A8EC1-C230-4D33-94BB-506D6F032A30}"/>
            </a:ext>
          </a:extLst>
        </xdr:cNvPr>
        <xdr:cNvPicPr>
          <a:picLocks noChangeAspect="1"/>
        </xdr:cNvPicPr>
      </xdr:nvPicPr>
      <xdr:blipFill rotWithShape="1">
        <a:blip xmlns:r="http://schemas.openxmlformats.org/officeDocument/2006/relationships" r:embed="rId3"/>
        <a:srcRect r="4535"/>
        <a:stretch/>
      </xdr:blipFill>
      <xdr:spPr>
        <a:xfrm>
          <a:off x="3750130" y="4429125"/>
          <a:ext cx="1221920" cy="923544"/>
        </a:xfrm>
        <a:prstGeom prst="rect">
          <a:avLst/>
        </a:prstGeom>
      </xdr:spPr>
    </xdr:pic>
    <xdr:clientData/>
  </xdr:twoCellAnchor>
  <xdr:twoCellAnchor editAs="oneCell">
    <xdr:from>
      <xdr:col>8</xdr:col>
      <xdr:colOff>63955</xdr:colOff>
      <xdr:row>30</xdr:row>
      <xdr:rowOff>0</xdr:rowOff>
    </xdr:from>
    <xdr:to>
      <xdr:col>9</xdr:col>
      <xdr:colOff>0</xdr:colOff>
      <xdr:row>34</xdr:row>
      <xdr:rowOff>18669</xdr:rowOff>
    </xdr:to>
    <xdr:pic>
      <xdr:nvPicPr>
        <xdr:cNvPr id="17" name="Picture 16" descr="Picture of dolphin">
          <a:extLst>
            <a:ext uri="{FF2B5EF4-FFF2-40B4-BE49-F238E27FC236}">
              <a16:creationId xmlns:a16="http://schemas.microsoft.com/office/drawing/2014/main" id="{9E5314DC-ED1D-4DF0-A6E7-E72EC75CEF9E}"/>
            </a:ext>
          </a:extLst>
        </xdr:cNvPr>
        <xdr:cNvPicPr>
          <a:picLocks noChangeAspect="1"/>
        </xdr:cNvPicPr>
      </xdr:nvPicPr>
      <xdr:blipFill rotWithShape="1">
        <a:blip xmlns:r="http://schemas.openxmlformats.org/officeDocument/2006/relationships" r:embed="rId3"/>
        <a:srcRect r="4535"/>
        <a:stretch/>
      </xdr:blipFill>
      <xdr:spPr>
        <a:xfrm>
          <a:off x="3750130" y="5524500"/>
          <a:ext cx="1221920" cy="923544"/>
        </a:xfrm>
        <a:prstGeom prst="rect">
          <a:avLst/>
        </a:prstGeom>
      </xdr:spPr>
    </xdr:pic>
    <xdr:clientData/>
  </xdr:twoCellAnchor>
  <xdr:twoCellAnchor editAs="oneCell">
    <xdr:from>
      <xdr:col>8</xdr:col>
      <xdr:colOff>63955</xdr:colOff>
      <xdr:row>36</xdr:row>
      <xdr:rowOff>0</xdr:rowOff>
    </xdr:from>
    <xdr:to>
      <xdr:col>9</xdr:col>
      <xdr:colOff>0</xdr:colOff>
      <xdr:row>40</xdr:row>
      <xdr:rowOff>18669</xdr:rowOff>
    </xdr:to>
    <xdr:pic>
      <xdr:nvPicPr>
        <xdr:cNvPr id="18" name="Picture 17" descr="Picture of dolphin">
          <a:extLst>
            <a:ext uri="{FF2B5EF4-FFF2-40B4-BE49-F238E27FC236}">
              <a16:creationId xmlns:a16="http://schemas.microsoft.com/office/drawing/2014/main" id="{688BCA79-33B0-4D30-A0AC-4A9ACE6C4367}"/>
            </a:ext>
          </a:extLst>
        </xdr:cNvPr>
        <xdr:cNvPicPr>
          <a:picLocks noChangeAspect="1"/>
        </xdr:cNvPicPr>
      </xdr:nvPicPr>
      <xdr:blipFill rotWithShape="1">
        <a:blip xmlns:r="http://schemas.openxmlformats.org/officeDocument/2006/relationships" r:embed="rId3"/>
        <a:srcRect r="4535"/>
        <a:stretch/>
      </xdr:blipFill>
      <xdr:spPr>
        <a:xfrm>
          <a:off x="3750130" y="6619875"/>
          <a:ext cx="1221920" cy="923544"/>
        </a:xfrm>
        <a:prstGeom prst="rect">
          <a:avLst/>
        </a:prstGeom>
      </xdr:spPr>
    </xdr:pic>
    <xdr:clientData/>
  </xdr:twoCellAnchor>
  <xdr:twoCellAnchor editAs="oneCell">
    <xdr:from>
      <xdr:col>8</xdr:col>
      <xdr:colOff>63955</xdr:colOff>
      <xdr:row>42</xdr:row>
      <xdr:rowOff>0</xdr:rowOff>
    </xdr:from>
    <xdr:to>
      <xdr:col>9</xdr:col>
      <xdr:colOff>0</xdr:colOff>
      <xdr:row>46</xdr:row>
      <xdr:rowOff>18669</xdr:rowOff>
    </xdr:to>
    <xdr:pic>
      <xdr:nvPicPr>
        <xdr:cNvPr id="19" name="Picture 18" descr="Picture of dolphin">
          <a:extLst>
            <a:ext uri="{FF2B5EF4-FFF2-40B4-BE49-F238E27FC236}">
              <a16:creationId xmlns:a16="http://schemas.microsoft.com/office/drawing/2014/main" id="{3C18249A-B2B9-4DA7-B4E4-6655428424BF}"/>
            </a:ext>
          </a:extLst>
        </xdr:cNvPr>
        <xdr:cNvPicPr>
          <a:picLocks noChangeAspect="1"/>
        </xdr:cNvPicPr>
      </xdr:nvPicPr>
      <xdr:blipFill rotWithShape="1">
        <a:blip xmlns:r="http://schemas.openxmlformats.org/officeDocument/2006/relationships" r:embed="rId3"/>
        <a:srcRect r="4535"/>
        <a:stretch/>
      </xdr:blipFill>
      <xdr:spPr>
        <a:xfrm>
          <a:off x="3750130" y="7715250"/>
          <a:ext cx="1221920" cy="923544"/>
        </a:xfrm>
        <a:prstGeom prst="rect">
          <a:avLst/>
        </a:prstGeom>
      </xdr:spPr>
    </xdr:pic>
    <xdr:clientData/>
  </xdr:twoCellAnchor>
  <xdr:twoCellAnchor editAs="oneCell">
    <xdr:from>
      <xdr:col>10</xdr:col>
      <xdr:colOff>65338</xdr:colOff>
      <xdr:row>11</xdr:row>
      <xdr:rowOff>76200</xdr:rowOff>
    </xdr:from>
    <xdr:to>
      <xdr:col>13</xdr:col>
      <xdr:colOff>0</xdr:colOff>
      <xdr:row>15</xdr:row>
      <xdr:rowOff>285369</xdr:rowOff>
    </xdr:to>
    <xdr:pic>
      <xdr:nvPicPr>
        <xdr:cNvPr id="20" name="Picture 19" descr="Picture of whale">
          <a:extLst>
            <a:ext uri="{FF2B5EF4-FFF2-40B4-BE49-F238E27FC236}">
              <a16:creationId xmlns:a16="http://schemas.microsoft.com/office/drawing/2014/main" id="{756BDCCC-650F-49DC-ADC3-2D2CD10065C2}"/>
            </a:ext>
          </a:extLst>
        </xdr:cNvPr>
        <xdr:cNvPicPr>
          <a:picLocks noChangeAspect="1"/>
        </xdr:cNvPicPr>
      </xdr:nvPicPr>
      <xdr:blipFill>
        <a:blip xmlns:r="http://schemas.openxmlformats.org/officeDocument/2006/relationships" r:embed="rId4"/>
        <a:stretch>
          <a:fillRect/>
        </a:stretch>
      </xdr:blipFill>
      <xdr:spPr>
        <a:xfrm>
          <a:off x="5132638" y="2219325"/>
          <a:ext cx="1220537" cy="923544"/>
        </a:xfrm>
        <a:prstGeom prst="rect">
          <a:avLst/>
        </a:prstGeom>
      </xdr:spPr>
    </xdr:pic>
    <xdr:clientData/>
  </xdr:twoCellAnchor>
  <xdr:twoCellAnchor editAs="oneCell">
    <xdr:from>
      <xdr:col>10</xdr:col>
      <xdr:colOff>65338</xdr:colOff>
      <xdr:row>18</xdr:row>
      <xdr:rowOff>0</xdr:rowOff>
    </xdr:from>
    <xdr:to>
      <xdr:col>13</xdr:col>
      <xdr:colOff>0</xdr:colOff>
      <xdr:row>22</xdr:row>
      <xdr:rowOff>18669</xdr:rowOff>
    </xdr:to>
    <xdr:pic>
      <xdr:nvPicPr>
        <xdr:cNvPr id="21" name="Picture 20" descr="Picture of whale">
          <a:extLst>
            <a:ext uri="{FF2B5EF4-FFF2-40B4-BE49-F238E27FC236}">
              <a16:creationId xmlns:a16="http://schemas.microsoft.com/office/drawing/2014/main" id="{8BCDE12A-D020-49B7-967A-A4AB9BABA8DA}"/>
            </a:ext>
          </a:extLst>
        </xdr:cNvPr>
        <xdr:cNvPicPr>
          <a:picLocks noChangeAspect="1"/>
        </xdr:cNvPicPr>
      </xdr:nvPicPr>
      <xdr:blipFill>
        <a:blip xmlns:r="http://schemas.openxmlformats.org/officeDocument/2006/relationships" r:embed="rId4"/>
        <a:stretch>
          <a:fillRect/>
        </a:stretch>
      </xdr:blipFill>
      <xdr:spPr>
        <a:xfrm>
          <a:off x="5132638" y="3333750"/>
          <a:ext cx="1220537" cy="923544"/>
        </a:xfrm>
        <a:prstGeom prst="rect">
          <a:avLst/>
        </a:prstGeom>
      </xdr:spPr>
    </xdr:pic>
    <xdr:clientData/>
  </xdr:twoCellAnchor>
  <xdr:twoCellAnchor editAs="oneCell">
    <xdr:from>
      <xdr:col>10</xdr:col>
      <xdr:colOff>65338</xdr:colOff>
      <xdr:row>24</xdr:row>
      <xdr:rowOff>0</xdr:rowOff>
    </xdr:from>
    <xdr:to>
      <xdr:col>13</xdr:col>
      <xdr:colOff>0</xdr:colOff>
      <xdr:row>28</xdr:row>
      <xdr:rowOff>18669</xdr:rowOff>
    </xdr:to>
    <xdr:pic>
      <xdr:nvPicPr>
        <xdr:cNvPr id="22" name="Picture 21" descr="Picture of whale">
          <a:extLst>
            <a:ext uri="{FF2B5EF4-FFF2-40B4-BE49-F238E27FC236}">
              <a16:creationId xmlns:a16="http://schemas.microsoft.com/office/drawing/2014/main" id="{77E18DA1-6884-4B2C-906E-AE64ED7E74EE}"/>
            </a:ext>
          </a:extLst>
        </xdr:cNvPr>
        <xdr:cNvPicPr>
          <a:picLocks noChangeAspect="1"/>
        </xdr:cNvPicPr>
      </xdr:nvPicPr>
      <xdr:blipFill>
        <a:blip xmlns:r="http://schemas.openxmlformats.org/officeDocument/2006/relationships" r:embed="rId4"/>
        <a:stretch>
          <a:fillRect/>
        </a:stretch>
      </xdr:blipFill>
      <xdr:spPr>
        <a:xfrm>
          <a:off x="5132638" y="4429125"/>
          <a:ext cx="1220537" cy="923544"/>
        </a:xfrm>
        <a:prstGeom prst="rect">
          <a:avLst/>
        </a:prstGeom>
      </xdr:spPr>
    </xdr:pic>
    <xdr:clientData/>
  </xdr:twoCellAnchor>
  <xdr:twoCellAnchor editAs="oneCell">
    <xdr:from>
      <xdr:col>10</xdr:col>
      <xdr:colOff>65338</xdr:colOff>
      <xdr:row>30</xdr:row>
      <xdr:rowOff>0</xdr:rowOff>
    </xdr:from>
    <xdr:to>
      <xdr:col>13</xdr:col>
      <xdr:colOff>0</xdr:colOff>
      <xdr:row>34</xdr:row>
      <xdr:rowOff>18669</xdr:rowOff>
    </xdr:to>
    <xdr:pic>
      <xdr:nvPicPr>
        <xdr:cNvPr id="23" name="Picture 22" descr="Picture of whale">
          <a:extLst>
            <a:ext uri="{FF2B5EF4-FFF2-40B4-BE49-F238E27FC236}">
              <a16:creationId xmlns:a16="http://schemas.microsoft.com/office/drawing/2014/main" id="{64124893-2CE0-47C0-8214-2611CF502502}"/>
            </a:ext>
          </a:extLst>
        </xdr:cNvPr>
        <xdr:cNvPicPr>
          <a:picLocks noChangeAspect="1"/>
        </xdr:cNvPicPr>
      </xdr:nvPicPr>
      <xdr:blipFill>
        <a:blip xmlns:r="http://schemas.openxmlformats.org/officeDocument/2006/relationships" r:embed="rId4"/>
        <a:stretch>
          <a:fillRect/>
        </a:stretch>
      </xdr:blipFill>
      <xdr:spPr>
        <a:xfrm>
          <a:off x="5132638" y="5524500"/>
          <a:ext cx="1220537" cy="923544"/>
        </a:xfrm>
        <a:prstGeom prst="rect">
          <a:avLst/>
        </a:prstGeom>
      </xdr:spPr>
    </xdr:pic>
    <xdr:clientData/>
  </xdr:twoCellAnchor>
  <xdr:twoCellAnchor editAs="oneCell">
    <xdr:from>
      <xdr:col>10</xdr:col>
      <xdr:colOff>65338</xdr:colOff>
      <xdr:row>36</xdr:row>
      <xdr:rowOff>0</xdr:rowOff>
    </xdr:from>
    <xdr:to>
      <xdr:col>13</xdr:col>
      <xdr:colOff>0</xdr:colOff>
      <xdr:row>40</xdr:row>
      <xdr:rowOff>18669</xdr:rowOff>
    </xdr:to>
    <xdr:pic>
      <xdr:nvPicPr>
        <xdr:cNvPr id="24" name="Picture 23" descr="Picture of whale">
          <a:extLst>
            <a:ext uri="{FF2B5EF4-FFF2-40B4-BE49-F238E27FC236}">
              <a16:creationId xmlns:a16="http://schemas.microsoft.com/office/drawing/2014/main" id="{7064E6BE-D334-4564-BB64-E80017D94F1E}"/>
            </a:ext>
          </a:extLst>
        </xdr:cNvPr>
        <xdr:cNvPicPr>
          <a:picLocks noChangeAspect="1"/>
        </xdr:cNvPicPr>
      </xdr:nvPicPr>
      <xdr:blipFill>
        <a:blip xmlns:r="http://schemas.openxmlformats.org/officeDocument/2006/relationships" r:embed="rId4"/>
        <a:stretch>
          <a:fillRect/>
        </a:stretch>
      </xdr:blipFill>
      <xdr:spPr>
        <a:xfrm>
          <a:off x="5132638" y="6619875"/>
          <a:ext cx="1220537" cy="923544"/>
        </a:xfrm>
        <a:prstGeom prst="rect">
          <a:avLst/>
        </a:prstGeom>
      </xdr:spPr>
    </xdr:pic>
    <xdr:clientData/>
  </xdr:twoCellAnchor>
  <xdr:twoCellAnchor editAs="oneCell">
    <xdr:from>
      <xdr:col>16</xdr:col>
      <xdr:colOff>74295</xdr:colOff>
      <xdr:row>68</xdr:row>
      <xdr:rowOff>361950</xdr:rowOff>
    </xdr:from>
    <xdr:to>
      <xdr:col>19</xdr:col>
      <xdr:colOff>0</xdr:colOff>
      <xdr:row>70</xdr:row>
      <xdr:rowOff>219075</xdr:rowOff>
    </xdr:to>
    <xdr:pic>
      <xdr:nvPicPr>
        <xdr:cNvPr id="25" name="Picture 24" descr="Picture of orca">
          <a:extLst>
            <a:ext uri="{FF2B5EF4-FFF2-40B4-BE49-F238E27FC236}">
              <a16:creationId xmlns:a16="http://schemas.microsoft.com/office/drawing/2014/main" id="{5EF23DD9-5C67-47F5-A851-1D0F475F82C1}"/>
            </a:ext>
          </a:extLst>
        </xdr:cNvPr>
        <xdr:cNvPicPr>
          <a:picLocks noChangeAspect="1"/>
        </xdr:cNvPicPr>
      </xdr:nvPicPr>
      <xdr:blipFill rotWithShape="1">
        <a:blip xmlns:r="http://schemas.openxmlformats.org/officeDocument/2006/relationships" r:embed="rId2"/>
        <a:srcRect l="19552" t="16667" r="5709"/>
        <a:stretch/>
      </xdr:blipFill>
      <xdr:spPr>
        <a:xfrm>
          <a:off x="7713345" y="11410950"/>
          <a:ext cx="640080" cy="476250"/>
        </a:xfrm>
        <a:prstGeom prst="rect">
          <a:avLst/>
        </a:prstGeom>
      </xdr:spPr>
    </xdr:pic>
    <xdr:clientData/>
  </xdr:twoCellAnchor>
  <xdr:twoCellAnchor editAs="oneCell">
    <xdr:from>
      <xdr:col>10</xdr:col>
      <xdr:colOff>0</xdr:colOff>
      <xdr:row>69</xdr:row>
      <xdr:rowOff>0</xdr:rowOff>
    </xdr:from>
    <xdr:to>
      <xdr:col>11</xdr:col>
      <xdr:colOff>185005</xdr:colOff>
      <xdr:row>71</xdr:row>
      <xdr:rowOff>0</xdr:rowOff>
    </xdr:to>
    <xdr:pic>
      <xdr:nvPicPr>
        <xdr:cNvPr id="26" name="Picture 25" descr="Picture of a group of humans">
          <a:extLst>
            <a:ext uri="{FF2B5EF4-FFF2-40B4-BE49-F238E27FC236}">
              <a16:creationId xmlns:a16="http://schemas.microsoft.com/office/drawing/2014/main" id="{8A3E8D8D-2128-4415-A545-D860D8220660}"/>
            </a:ext>
          </a:extLst>
        </xdr:cNvPr>
        <xdr:cNvPicPr>
          <a:picLocks noChangeAspect="1"/>
        </xdr:cNvPicPr>
      </xdr:nvPicPr>
      <xdr:blipFill rotWithShape="1">
        <a:blip xmlns:r="http://schemas.openxmlformats.org/officeDocument/2006/relationships" r:embed="rId5"/>
        <a:srcRect r="12057"/>
        <a:stretch/>
      </xdr:blipFill>
      <xdr:spPr>
        <a:xfrm>
          <a:off x="5067300" y="11430000"/>
          <a:ext cx="613630" cy="476250"/>
        </a:xfrm>
        <a:prstGeom prst="rect">
          <a:avLst/>
        </a:prstGeom>
      </xdr:spPr>
    </xdr:pic>
    <xdr:clientData/>
  </xdr:twoCellAnchor>
  <xdr:twoCellAnchor editAs="oneCell">
    <xdr:from>
      <xdr:col>14</xdr:col>
      <xdr:colOff>63954</xdr:colOff>
      <xdr:row>12</xdr:row>
      <xdr:rowOff>0</xdr:rowOff>
    </xdr:from>
    <xdr:to>
      <xdr:col>16</xdr:col>
      <xdr:colOff>428624</xdr:colOff>
      <xdr:row>16</xdr:row>
      <xdr:rowOff>18669</xdr:rowOff>
    </xdr:to>
    <xdr:pic>
      <xdr:nvPicPr>
        <xdr:cNvPr id="27" name="Picture 26" descr="Picture of seal">
          <a:extLst>
            <a:ext uri="{FF2B5EF4-FFF2-40B4-BE49-F238E27FC236}">
              <a16:creationId xmlns:a16="http://schemas.microsoft.com/office/drawing/2014/main" id="{F5D67CF8-466F-4C21-BB66-9AD8C33805B2}"/>
            </a:ext>
          </a:extLst>
        </xdr:cNvPr>
        <xdr:cNvPicPr>
          <a:picLocks noChangeAspect="1"/>
        </xdr:cNvPicPr>
      </xdr:nvPicPr>
      <xdr:blipFill rotWithShape="1">
        <a:blip xmlns:r="http://schemas.openxmlformats.org/officeDocument/2006/relationships" r:embed="rId6"/>
        <a:srcRect l="4045" t="1763" r="14073" b="5930"/>
        <a:stretch/>
      </xdr:blipFill>
      <xdr:spPr>
        <a:xfrm>
          <a:off x="6512379" y="2238375"/>
          <a:ext cx="1221920" cy="923544"/>
        </a:xfrm>
        <a:prstGeom prst="rect">
          <a:avLst/>
        </a:prstGeom>
      </xdr:spPr>
    </xdr:pic>
    <xdr:clientData/>
  </xdr:twoCellAnchor>
  <xdr:twoCellAnchor editAs="oneCell">
    <xdr:from>
      <xdr:col>14</xdr:col>
      <xdr:colOff>63955</xdr:colOff>
      <xdr:row>18</xdr:row>
      <xdr:rowOff>0</xdr:rowOff>
    </xdr:from>
    <xdr:to>
      <xdr:col>17</xdr:col>
      <xdr:colOff>0</xdr:colOff>
      <xdr:row>22</xdr:row>
      <xdr:rowOff>18669</xdr:rowOff>
    </xdr:to>
    <xdr:pic>
      <xdr:nvPicPr>
        <xdr:cNvPr id="28" name="Picture 27" descr="Picture of seal">
          <a:extLst>
            <a:ext uri="{FF2B5EF4-FFF2-40B4-BE49-F238E27FC236}">
              <a16:creationId xmlns:a16="http://schemas.microsoft.com/office/drawing/2014/main" id="{A9F814EA-2A9E-451E-BACA-00771C885B72}"/>
            </a:ext>
          </a:extLst>
        </xdr:cNvPr>
        <xdr:cNvPicPr>
          <a:picLocks noChangeAspect="1"/>
        </xdr:cNvPicPr>
      </xdr:nvPicPr>
      <xdr:blipFill rotWithShape="1">
        <a:blip xmlns:r="http://schemas.openxmlformats.org/officeDocument/2006/relationships" r:embed="rId6"/>
        <a:srcRect l="4045" t="1763" r="14073" b="5930"/>
        <a:stretch/>
      </xdr:blipFill>
      <xdr:spPr>
        <a:xfrm>
          <a:off x="6512380" y="3333750"/>
          <a:ext cx="1221920" cy="923544"/>
        </a:xfrm>
        <a:prstGeom prst="rect">
          <a:avLst/>
        </a:prstGeom>
      </xdr:spPr>
    </xdr:pic>
    <xdr:clientData/>
  </xdr:twoCellAnchor>
  <xdr:twoCellAnchor editAs="oneCell">
    <xdr:from>
      <xdr:col>14</xdr:col>
      <xdr:colOff>63955</xdr:colOff>
      <xdr:row>24</xdr:row>
      <xdr:rowOff>0</xdr:rowOff>
    </xdr:from>
    <xdr:to>
      <xdr:col>17</xdr:col>
      <xdr:colOff>0</xdr:colOff>
      <xdr:row>28</xdr:row>
      <xdr:rowOff>18669</xdr:rowOff>
    </xdr:to>
    <xdr:pic>
      <xdr:nvPicPr>
        <xdr:cNvPr id="29" name="Picture 28" descr="Picture of seal">
          <a:extLst>
            <a:ext uri="{FF2B5EF4-FFF2-40B4-BE49-F238E27FC236}">
              <a16:creationId xmlns:a16="http://schemas.microsoft.com/office/drawing/2014/main" id="{B0D6C584-55D7-43E0-8B88-9E63F7898C67}"/>
            </a:ext>
          </a:extLst>
        </xdr:cNvPr>
        <xdr:cNvPicPr>
          <a:picLocks noChangeAspect="1"/>
        </xdr:cNvPicPr>
      </xdr:nvPicPr>
      <xdr:blipFill rotWithShape="1">
        <a:blip xmlns:r="http://schemas.openxmlformats.org/officeDocument/2006/relationships" r:embed="rId6"/>
        <a:srcRect l="4045" t="1763" r="14073" b="5930"/>
        <a:stretch/>
      </xdr:blipFill>
      <xdr:spPr>
        <a:xfrm>
          <a:off x="6512380" y="4429125"/>
          <a:ext cx="1221920" cy="923544"/>
        </a:xfrm>
        <a:prstGeom prst="rect">
          <a:avLst/>
        </a:prstGeom>
      </xdr:spPr>
    </xdr:pic>
    <xdr:clientData/>
  </xdr:twoCellAnchor>
  <xdr:twoCellAnchor editAs="oneCell">
    <xdr:from>
      <xdr:col>14</xdr:col>
      <xdr:colOff>63955</xdr:colOff>
      <xdr:row>30</xdr:row>
      <xdr:rowOff>0</xdr:rowOff>
    </xdr:from>
    <xdr:to>
      <xdr:col>17</xdr:col>
      <xdr:colOff>0</xdr:colOff>
      <xdr:row>34</xdr:row>
      <xdr:rowOff>18669</xdr:rowOff>
    </xdr:to>
    <xdr:pic>
      <xdr:nvPicPr>
        <xdr:cNvPr id="30" name="Picture 29" descr="Picture of seal">
          <a:extLst>
            <a:ext uri="{FF2B5EF4-FFF2-40B4-BE49-F238E27FC236}">
              <a16:creationId xmlns:a16="http://schemas.microsoft.com/office/drawing/2014/main" id="{82F7744B-B89D-414D-B3EE-A0835AD8F33F}"/>
            </a:ext>
          </a:extLst>
        </xdr:cNvPr>
        <xdr:cNvPicPr>
          <a:picLocks noChangeAspect="1"/>
        </xdr:cNvPicPr>
      </xdr:nvPicPr>
      <xdr:blipFill rotWithShape="1">
        <a:blip xmlns:r="http://schemas.openxmlformats.org/officeDocument/2006/relationships" r:embed="rId6"/>
        <a:srcRect l="4045" t="1763" r="14073" b="5930"/>
        <a:stretch/>
      </xdr:blipFill>
      <xdr:spPr>
        <a:xfrm>
          <a:off x="6512380" y="5524500"/>
          <a:ext cx="1221920" cy="923544"/>
        </a:xfrm>
        <a:prstGeom prst="rect">
          <a:avLst/>
        </a:prstGeom>
      </xdr:spPr>
    </xdr:pic>
    <xdr:clientData/>
  </xdr:twoCellAnchor>
  <xdr:twoCellAnchor editAs="oneCell">
    <xdr:from>
      <xdr:col>18</xdr:col>
      <xdr:colOff>92531</xdr:colOff>
      <xdr:row>12</xdr:row>
      <xdr:rowOff>0</xdr:rowOff>
    </xdr:from>
    <xdr:to>
      <xdr:col>22</xdr:col>
      <xdr:colOff>0</xdr:colOff>
      <xdr:row>16</xdr:row>
      <xdr:rowOff>18669</xdr:rowOff>
    </xdr:to>
    <xdr:pic>
      <xdr:nvPicPr>
        <xdr:cNvPr id="31" name="Picture 30" descr="Picture of salmon">
          <a:extLst>
            <a:ext uri="{FF2B5EF4-FFF2-40B4-BE49-F238E27FC236}">
              <a16:creationId xmlns:a16="http://schemas.microsoft.com/office/drawing/2014/main" id="{F3EFB70D-1D4C-4BDA-894F-13D2A63208B0}"/>
            </a:ext>
          </a:extLst>
        </xdr:cNvPr>
        <xdr:cNvPicPr>
          <a:picLocks noChangeAspect="1"/>
        </xdr:cNvPicPr>
      </xdr:nvPicPr>
      <xdr:blipFill rotWithShape="1">
        <a:blip xmlns:r="http://schemas.openxmlformats.org/officeDocument/2006/relationships" r:embed="rId7"/>
        <a:srcRect r="14449"/>
        <a:stretch/>
      </xdr:blipFill>
      <xdr:spPr>
        <a:xfrm>
          <a:off x="7922081" y="2238375"/>
          <a:ext cx="1221919" cy="923544"/>
        </a:xfrm>
        <a:prstGeom prst="rect">
          <a:avLst/>
        </a:prstGeom>
      </xdr:spPr>
    </xdr:pic>
    <xdr:clientData/>
  </xdr:twoCellAnchor>
  <xdr:twoCellAnchor editAs="oneCell">
    <xdr:from>
      <xdr:col>18</xdr:col>
      <xdr:colOff>92530</xdr:colOff>
      <xdr:row>18</xdr:row>
      <xdr:rowOff>0</xdr:rowOff>
    </xdr:from>
    <xdr:to>
      <xdr:col>21</xdr:col>
      <xdr:colOff>838199</xdr:colOff>
      <xdr:row>22</xdr:row>
      <xdr:rowOff>18669</xdr:rowOff>
    </xdr:to>
    <xdr:pic>
      <xdr:nvPicPr>
        <xdr:cNvPr id="32" name="Picture 31" descr="Picture of salmon">
          <a:extLst>
            <a:ext uri="{FF2B5EF4-FFF2-40B4-BE49-F238E27FC236}">
              <a16:creationId xmlns:a16="http://schemas.microsoft.com/office/drawing/2014/main" id="{90AA78AB-78D6-4767-B619-5000CDF5C848}"/>
            </a:ext>
          </a:extLst>
        </xdr:cNvPr>
        <xdr:cNvPicPr>
          <a:picLocks noChangeAspect="1"/>
        </xdr:cNvPicPr>
      </xdr:nvPicPr>
      <xdr:blipFill rotWithShape="1">
        <a:blip xmlns:r="http://schemas.openxmlformats.org/officeDocument/2006/relationships" r:embed="rId7"/>
        <a:srcRect r="14449"/>
        <a:stretch/>
      </xdr:blipFill>
      <xdr:spPr>
        <a:xfrm>
          <a:off x="7922080" y="3333750"/>
          <a:ext cx="1221919" cy="923544"/>
        </a:xfrm>
        <a:prstGeom prst="rect">
          <a:avLst/>
        </a:prstGeom>
      </xdr:spPr>
    </xdr:pic>
    <xdr:clientData/>
  </xdr:twoCellAnchor>
  <xdr:twoCellAnchor editAs="oneCell">
    <xdr:from>
      <xdr:col>18</xdr:col>
      <xdr:colOff>92530</xdr:colOff>
      <xdr:row>24</xdr:row>
      <xdr:rowOff>0</xdr:rowOff>
    </xdr:from>
    <xdr:to>
      <xdr:col>21</xdr:col>
      <xdr:colOff>838199</xdr:colOff>
      <xdr:row>28</xdr:row>
      <xdr:rowOff>18669</xdr:rowOff>
    </xdr:to>
    <xdr:pic>
      <xdr:nvPicPr>
        <xdr:cNvPr id="33" name="Picture 32" descr="Picture of salmon">
          <a:extLst>
            <a:ext uri="{FF2B5EF4-FFF2-40B4-BE49-F238E27FC236}">
              <a16:creationId xmlns:a16="http://schemas.microsoft.com/office/drawing/2014/main" id="{BCBAE196-0823-4CE9-A1DB-1F43D9B5C531}"/>
            </a:ext>
          </a:extLst>
        </xdr:cNvPr>
        <xdr:cNvPicPr>
          <a:picLocks noChangeAspect="1"/>
        </xdr:cNvPicPr>
      </xdr:nvPicPr>
      <xdr:blipFill rotWithShape="1">
        <a:blip xmlns:r="http://schemas.openxmlformats.org/officeDocument/2006/relationships" r:embed="rId7"/>
        <a:srcRect r="14449"/>
        <a:stretch/>
      </xdr:blipFill>
      <xdr:spPr>
        <a:xfrm>
          <a:off x="7922080" y="4429125"/>
          <a:ext cx="1221919" cy="923544"/>
        </a:xfrm>
        <a:prstGeom prst="rect">
          <a:avLst/>
        </a:prstGeom>
      </xdr:spPr>
    </xdr:pic>
    <xdr:clientData/>
  </xdr:twoCellAnchor>
  <xdr:twoCellAnchor editAs="oneCell">
    <xdr:from>
      <xdr:col>23</xdr:col>
      <xdr:colOff>130629</xdr:colOff>
      <xdr:row>11</xdr:row>
      <xdr:rowOff>95249</xdr:rowOff>
    </xdr:from>
    <xdr:to>
      <xdr:col>25</xdr:col>
      <xdr:colOff>142874</xdr:colOff>
      <xdr:row>16</xdr:row>
      <xdr:rowOff>18668</xdr:rowOff>
    </xdr:to>
    <xdr:pic>
      <xdr:nvPicPr>
        <xdr:cNvPr id="34" name="Picture 33" descr="Picture of crab">
          <a:extLst>
            <a:ext uri="{FF2B5EF4-FFF2-40B4-BE49-F238E27FC236}">
              <a16:creationId xmlns:a16="http://schemas.microsoft.com/office/drawing/2014/main" id="{0FC85D56-7BCC-4328-B7E9-3FC44183E6CB}"/>
            </a:ext>
          </a:extLst>
        </xdr:cNvPr>
        <xdr:cNvPicPr>
          <a:picLocks noChangeAspect="1"/>
        </xdr:cNvPicPr>
      </xdr:nvPicPr>
      <xdr:blipFill rotWithShape="1">
        <a:blip xmlns:r="http://schemas.openxmlformats.org/officeDocument/2006/relationships" r:embed="rId8"/>
        <a:srcRect r="886"/>
        <a:stretch/>
      </xdr:blipFill>
      <xdr:spPr>
        <a:xfrm>
          <a:off x="9703254" y="2238374"/>
          <a:ext cx="1221920" cy="923544"/>
        </a:xfrm>
        <a:prstGeom prst="rect">
          <a:avLst/>
        </a:prstGeom>
      </xdr:spPr>
    </xdr:pic>
    <xdr:clientData/>
  </xdr:twoCellAnchor>
  <xdr:twoCellAnchor editAs="oneCell">
    <xdr:from>
      <xdr:col>23</xdr:col>
      <xdr:colOff>130630</xdr:colOff>
      <xdr:row>18</xdr:row>
      <xdr:rowOff>0</xdr:rowOff>
    </xdr:from>
    <xdr:to>
      <xdr:col>26</xdr:col>
      <xdr:colOff>0</xdr:colOff>
      <xdr:row>22</xdr:row>
      <xdr:rowOff>18669</xdr:rowOff>
    </xdr:to>
    <xdr:pic>
      <xdr:nvPicPr>
        <xdr:cNvPr id="35" name="Picture 34" descr="Picture of crab">
          <a:extLst>
            <a:ext uri="{FF2B5EF4-FFF2-40B4-BE49-F238E27FC236}">
              <a16:creationId xmlns:a16="http://schemas.microsoft.com/office/drawing/2014/main" id="{AA7E7C45-706B-4B76-A36D-27CFF00FE86C}"/>
            </a:ext>
          </a:extLst>
        </xdr:cNvPr>
        <xdr:cNvPicPr>
          <a:picLocks noChangeAspect="1"/>
        </xdr:cNvPicPr>
      </xdr:nvPicPr>
      <xdr:blipFill rotWithShape="1">
        <a:blip xmlns:r="http://schemas.openxmlformats.org/officeDocument/2006/relationships" r:embed="rId8"/>
        <a:srcRect r="886"/>
        <a:stretch/>
      </xdr:blipFill>
      <xdr:spPr>
        <a:xfrm>
          <a:off x="9369880" y="3333750"/>
          <a:ext cx="1221920" cy="923544"/>
        </a:xfrm>
        <a:prstGeom prst="rect">
          <a:avLst/>
        </a:prstGeom>
      </xdr:spPr>
    </xdr:pic>
    <xdr:clientData/>
  </xdr:twoCellAnchor>
  <xdr:twoCellAnchor editAs="oneCell">
    <xdr:from>
      <xdr:col>27</xdr:col>
      <xdr:colOff>6805</xdr:colOff>
      <xdr:row>12</xdr:row>
      <xdr:rowOff>3810</xdr:rowOff>
    </xdr:from>
    <xdr:to>
      <xdr:col>29</xdr:col>
      <xdr:colOff>0</xdr:colOff>
      <xdr:row>16</xdr:row>
      <xdr:rowOff>22479</xdr:rowOff>
    </xdr:to>
    <xdr:pic>
      <xdr:nvPicPr>
        <xdr:cNvPr id="2" name="Picture 1" descr="Picture of eelgrass">
          <a:extLst>
            <a:ext uri="{FF2B5EF4-FFF2-40B4-BE49-F238E27FC236}">
              <a16:creationId xmlns:a16="http://schemas.microsoft.com/office/drawing/2014/main" id="{66284C77-EFD0-4CCF-A96B-49257769C072}"/>
            </a:ext>
          </a:extLst>
        </xdr:cNvPr>
        <xdr:cNvPicPr>
          <a:picLocks noChangeAspect="1"/>
        </xdr:cNvPicPr>
      </xdr:nvPicPr>
      <xdr:blipFill rotWithShape="1">
        <a:blip xmlns:r="http://schemas.openxmlformats.org/officeDocument/2006/relationships" r:embed="rId9"/>
        <a:srcRect r="6014"/>
        <a:stretch/>
      </xdr:blipFill>
      <xdr:spPr>
        <a:xfrm>
          <a:off x="10684330" y="2242185"/>
          <a:ext cx="1221920" cy="923544"/>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9</xdr:col>
      <xdr:colOff>311467</xdr:colOff>
      <xdr:row>10</xdr:row>
      <xdr:rowOff>120015</xdr:rowOff>
    </xdr:from>
    <xdr:to>
      <xdr:col>11</xdr:col>
      <xdr:colOff>1260157</xdr:colOff>
      <xdr:row>10</xdr:row>
      <xdr:rowOff>1308735</xdr:rowOff>
    </xdr:to>
    <xdr:grpSp>
      <xdr:nvGrpSpPr>
        <xdr:cNvPr id="48" name="Step 3" descr="See the formula for this cell is D9 dot population. This gives you the population data for the linked data type &quot;San Juan Island&quot;.">
          <a:extLst>
            <a:ext uri="{FF2B5EF4-FFF2-40B4-BE49-F238E27FC236}">
              <a16:creationId xmlns:a16="http://schemas.microsoft.com/office/drawing/2014/main" id="{C707B9ED-4AA8-4EC5-8023-DAAEE7CD36FC}"/>
            </a:ext>
          </a:extLst>
        </xdr:cNvPr>
        <xdr:cNvGrpSpPr/>
      </xdr:nvGrpSpPr>
      <xdr:grpSpPr>
        <a:xfrm>
          <a:off x="8883967" y="2729865"/>
          <a:ext cx="2377440" cy="1188720"/>
          <a:chOff x="10477500" y="1162050"/>
          <a:chExt cx="2276475" cy="1228725"/>
        </a:xfrm>
      </xdr:grpSpPr>
      <xdr:sp macro="" textlink="">
        <xdr:nvSpPr>
          <xdr:cNvPr id="41" name="Rectangle 40">
            <a:extLst>
              <a:ext uri="{FF2B5EF4-FFF2-40B4-BE49-F238E27FC236}">
                <a16:creationId xmlns:a16="http://schemas.microsoft.com/office/drawing/2014/main" id="{B8264E52-18EA-4DB8-B6C8-0786FBD3FEBB}"/>
              </a:ext>
            </a:extLst>
          </xdr:cNvPr>
          <xdr:cNvSpPr/>
        </xdr:nvSpPr>
        <xdr:spPr>
          <a:xfrm>
            <a:off x="10477500" y="1162050"/>
            <a:ext cx="2276475" cy="1228725"/>
          </a:xfrm>
          <a:prstGeom prst="rect">
            <a:avLst/>
          </a:prstGeom>
          <a:no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ysClr val="windowText" lastClr="000000"/>
              </a:solidFill>
            </a:endParaRPr>
          </a:p>
        </xdr:txBody>
      </xdr:sp>
      <xdr:sp macro="" textlink="">
        <xdr:nvSpPr>
          <xdr:cNvPr id="42" name="Rectangle 41">
            <a:extLst>
              <a:ext uri="{FF2B5EF4-FFF2-40B4-BE49-F238E27FC236}">
                <a16:creationId xmlns:a16="http://schemas.microsoft.com/office/drawing/2014/main" id="{D7A7566E-5C79-4CF2-BBE2-51E64A726981}"/>
              </a:ext>
            </a:extLst>
          </xdr:cNvPr>
          <xdr:cNvSpPr/>
        </xdr:nvSpPr>
        <xdr:spPr>
          <a:xfrm>
            <a:off x="10487025" y="1162050"/>
            <a:ext cx="2266950" cy="238126"/>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100" b="1">
                <a:solidFill>
                  <a:sysClr val="windowText" lastClr="000000"/>
                </a:solidFill>
              </a:rPr>
              <a:t>Step 3:</a:t>
            </a:r>
          </a:p>
        </xdr:txBody>
      </xdr:sp>
      <xdr:sp macro="" textlink="">
        <xdr:nvSpPr>
          <xdr:cNvPr id="43" name="Rectangle 42">
            <a:extLst>
              <a:ext uri="{FF2B5EF4-FFF2-40B4-BE49-F238E27FC236}">
                <a16:creationId xmlns:a16="http://schemas.microsoft.com/office/drawing/2014/main" id="{695E4188-758B-4564-94B9-EB74441B0A73}"/>
              </a:ext>
            </a:extLst>
          </xdr:cNvPr>
          <xdr:cNvSpPr/>
        </xdr:nvSpPr>
        <xdr:spPr>
          <a:xfrm>
            <a:off x="10496551" y="1352552"/>
            <a:ext cx="2219324" cy="247648"/>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100" baseline="0">
                <a:solidFill>
                  <a:sysClr val="windowText" lastClr="000000"/>
                </a:solidFill>
              </a:rPr>
              <a:t>Observe how the formula reads</a:t>
            </a:r>
            <a:endParaRPr lang="en-US" sz="1100">
              <a:solidFill>
                <a:sysClr val="windowText" lastClr="000000"/>
              </a:solidFill>
            </a:endParaRPr>
          </a:p>
        </xdr:txBody>
      </xdr:sp>
      <xdr:sp macro="" textlink="">
        <xdr:nvSpPr>
          <xdr:cNvPr id="46" name="Rectangle 45">
            <a:extLst>
              <a:ext uri="{FF2B5EF4-FFF2-40B4-BE49-F238E27FC236}">
                <a16:creationId xmlns:a16="http://schemas.microsoft.com/office/drawing/2014/main" id="{B8AB4E65-2193-4950-A504-399183C97ACF}"/>
              </a:ext>
            </a:extLst>
          </xdr:cNvPr>
          <xdr:cNvSpPr/>
        </xdr:nvSpPr>
        <xdr:spPr>
          <a:xfrm>
            <a:off x="10496550" y="1543050"/>
            <a:ext cx="2219324" cy="247648"/>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100" b="1" i="1" baseline="0">
                <a:solidFill>
                  <a:sysClr val="windowText" lastClr="000000"/>
                </a:solidFill>
              </a:rPr>
              <a:t>=D9.population</a:t>
            </a:r>
            <a:endParaRPr lang="en-US" sz="1100" b="1" i="1">
              <a:solidFill>
                <a:sysClr val="windowText" lastClr="000000"/>
              </a:solidFill>
            </a:endParaRPr>
          </a:p>
        </xdr:txBody>
      </xdr:sp>
      <xdr:sp macro="" textlink="">
        <xdr:nvSpPr>
          <xdr:cNvPr id="47" name="Rectangle 46">
            <a:extLst>
              <a:ext uri="{FF2B5EF4-FFF2-40B4-BE49-F238E27FC236}">
                <a16:creationId xmlns:a16="http://schemas.microsoft.com/office/drawing/2014/main" id="{0ACB2A6A-B725-4FE0-9424-588900B61681}"/>
              </a:ext>
            </a:extLst>
          </xdr:cNvPr>
          <xdr:cNvSpPr/>
        </xdr:nvSpPr>
        <xdr:spPr>
          <a:xfrm>
            <a:off x="10487025" y="1695450"/>
            <a:ext cx="2219325" cy="6667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100" baseline="0">
                <a:solidFill>
                  <a:sysClr val="windowText" lastClr="000000"/>
                </a:solidFill>
              </a:rPr>
              <a:t>This gives you the population data for the data type "San Juan Island" in C9!</a:t>
            </a:r>
            <a:endParaRPr lang="en-US" sz="1100">
              <a:solidFill>
                <a:sysClr val="windowText" lastClr="000000"/>
              </a:solidFill>
            </a:endParaRPr>
          </a:p>
        </xdr:txBody>
      </xdr:sp>
    </xdr:grpSp>
    <xdr:clientData/>
  </xdr:twoCellAnchor>
  <xdr:twoCellAnchor editAs="oneCell">
    <xdr:from>
      <xdr:col>4</xdr:col>
      <xdr:colOff>311467</xdr:colOff>
      <xdr:row>10</xdr:row>
      <xdr:rowOff>120016</xdr:rowOff>
    </xdr:from>
    <xdr:to>
      <xdr:col>5</xdr:col>
      <xdr:colOff>1831657</xdr:colOff>
      <xdr:row>10</xdr:row>
      <xdr:rowOff>1308736</xdr:rowOff>
    </xdr:to>
    <xdr:grpSp>
      <xdr:nvGrpSpPr>
        <xdr:cNvPr id="17" name="Group 16" descr="Select the cell E9 to begin learn about data extracted from data types.">
          <a:extLst>
            <a:ext uri="{FF2B5EF4-FFF2-40B4-BE49-F238E27FC236}">
              <a16:creationId xmlns:a16="http://schemas.microsoft.com/office/drawing/2014/main" id="{F6C35EBB-C218-08BC-91E8-62EBF0D74816}"/>
            </a:ext>
          </a:extLst>
        </xdr:cNvPr>
        <xdr:cNvGrpSpPr/>
      </xdr:nvGrpSpPr>
      <xdr:grpSpPr>
        <a:xfrm>
          <a:off x="2883217" y="2729866"/>
          <a:ext cx="2377440" cy="1188720"/>
          <a:chOff x="2883217" y="2729866"/>
          <a:chExt cx="2377440" cy="1188720"/>
        </a:xfrm>
      </xdr:grpSpPr>
      <xdr:pic>
        <xdr:nvPicPr>
          <xdr:cNvPr id="14" name="Picture 13">
            <a:extLst>
              <a:ext uri="{FF2B5EF4-FFF2-40B4-BE49-F238E27FC236}">
                <a16:creationId xmlns:a16="http://schemas.microsoft.com/office/drawing/2014/main" id="{A5844356-75C5-5C47-B1A3-D8E90819065D}"/>
              </a:ext>
            </a:extLst>
          </xdr:cNvPr>
          <xdr:cNvPicPr>
            <a:picLocks noChangeAspect="1"/>
          </xdr:cNvPicPr>
        </xdr:nvPicPr>
        <xdr:blipFill>
          <a:blip xmlns:r="http://schemas.openxmlformats.org/officeDocument/2006/relationships" r:embed="rId1"/>
          <a:stretch>
            <a:fillRect/>
          </a:stretch>
        </xdr:blipFill>
        <xdr:spPr>
          <a:xfrm>
            <a:off x="2914651" y="3324225"/>
            <a:ext cx="2284972" cy="542925"/>
          </a:xfrm>
          <a:prstGeom prst="rect">
            <a:avLst/>
          </a:prstGeom>
        </xdr:spPr>
      </xdr:pic>
      <xdr:sp macro="" textlink="">
        <xdr:nvSpPr>
          <xdr:cNvPr id="6" name="Rectangle 5">
            <a:extLst>
              <a:ext uri="{FF2B5EF4-FFF2-40B4-BE49-F238E27FC236}">
                <a16:creationId xmlns:a16="http://schemas.microsoft.com/office/drawing/2014/main" id="{179B1639-5BFA-4BCB-A246-33086469557E}"/>
              </a:ext>
            </a:extLst>
          </xdr:cNvPr>
          <xdr:cNvSpPr/>
        </xdr:nvSpPr>
        <xdr:spPr>
          <a:xfrm>
            <a:off x="2883217" y="2729867"/>
            <a:ext cx="2377440" cy="1188719"/>
          </a:xfrm>
          <a:prstGeom prst="rect">
            <a:avLst/>
          </a:prstGeom>
          <a:no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ysClr val="windowText" lastClr="000000"/>
              </a:solidFill>
            </a:endParaRPr>
          </a:p>
        </xdr:txBody>
      </xdr:sp>
      <xdr:sp macro="" textlink="">
        <xdr:nvSpPr>
          <xdr:cNvPr id="12" name="Rectangle 11">
            <a:extLst>
              <a:ext uri="{FF2B5EF4-FFF2-40B4-BE49-F238E27FC236}">
                <a16:creationId xmlns:a16="http://schemas.microsoft.com/office/drawing/2014/main" id="{893A69AC-794F-4B0F-81B7-F2829E343511}"/>
              </a:ext>
            </a:extLst>
          </xdr:cNvPr>
          <xdr:cNvSpPr/>
        </xdr:nvSpPr>
        <xdr:spPr>
          <a:xfrm>
            <a:off x="2892743" y="2729866"/>
            <a:ext cx="2266950" cy="247651"/>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100" b="1">
                <a:solidFill>
                  <a:sysClr val="windowText" lastClr="000000"/>
                </a:solidFill>
              </a:rPr>
              <a:t>Step 1:</a:t>
            </a:r>
          </a:p>
        </xdr:txBody>
      </xdr:sp>
      <xdr:sp macro="" textlink="">
        <xdr:nvSpPr>
          <xdr:cNvPr id="16" name="Rectangle 15">
            <a:extLst>
              <a:ext uri="{FF2B5EF4-FFF2-40B4-BE49-F238E27FC236}">
                <a16:creationId xmlns:a16="http://schemas.microsoft.com/office/drawing/2014/main" id="{93F3F9B8-F022-4FF1-9849-2267EA0E668F}"/>
              </a:ext>
            </a:extLst>
          </xdr:cNvPr>
          <xdr:cNvSpPr/>
        </xdr:nvSpPr>
        <xdr:spPr>
          <a:xfrm>
            <a:off x="2883218" y="2997329"/>
            <a:ext cx="2276475" cy="2476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100">
                <a:solidFill>
                  <a:sysClr val="windowText" lastClr="000000"/>
                </a:solidFill>
              </a:rPr>
              <a:t>Select the above yellow cell</a:t>
            </a:r>
          </a:p>
        </xdr:txBody>
      </xdr:sp>
      <xdr:sp macro="" textlink="">
        <xdr:nvSpPr>
          <xdr:cNvPr id="36" name="Oval 35">
            <a:extLst>
              <a:ext uri="{FF2B5EF4-FFF2-40B4-BE49-F238E27FC236}">
                <a16:creationId xmlns:a16="http://schemas.microsoft.com/office/drawing/2014/main" id="{CF0D1376-99A5-4AA0-BF27-06E4328B5E50}"/>
              </a:ext>
            </a:extLst>
          </xdr:cNvPr>
          <xdr:cNvSpPr/>
        </xdr:nvSpPr>
        <xdr:spPr>
          <a:xfrm>
            <a:off x="4035743" y="3561208"/>
            <a:ext cx="914400" cy="326898"/>
          </a:xfrm>
          <a:prstGeom prst="ellipse">
            <a:avLst/>
          </a:prstGeom>
          <a:noFill/>
          <a:ln w="28575">
            <a:solidFill>
              <a:schemeClr val="accent6">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editAs="oneCell">
    <xdr:from>
      <xdr:col>6</xdr:col>
      <xdr:colOff>247650</xdr:colOff>
      <xdr:row>10</xdr:row>
      <xdr:rowOff>114300</xdr:rowOff>
    </xdr:from>
    <xdr:to>
      <xdr:col>8</xdr:col>
      <xdr:colOff>419100</xdr:colOff>
      <xdr:row>10</xdr:row>
      <xdr:rowOff>1295400</xdr:rowOff>
    </xdr:to>
    <xdr:grpSp>
      <xdr:nvGrpSpPr>
        <xdr:cNvPr id="10" name="Group 9" descr="See the formula for this cell is D9 dot population. This gives you the population data for the linked data type &quot;San Juan Island&quot;.">
          <a:extLst>
            <a:ext uri="{FF2B5EF4-FFF2-40B4-BE49-F238E27FC236}">
              <a16:creationId xmlns:a16="http://schemas.microsoft.com/office/drawing/2014/main" id="{1AC5DF04-A537-4364-B473-81FE1ED29598}"/>
            </a:ext>
          </a:extLst>
        </xdr:cNvPr>
        <xdr:cNvGrpSpPr/>
      </xdr:nvGrpSpPr>
      <xdr:grpSpPr>
        <a:xfrm>
          <a:off x="5819775" y="2724150"/>
          <a:ext cx="2457450" cy="1181100"/>
          <a:chOff x="5819775" y="2724150"/>
          <a:chExt cx="2457450" cy="1181100"/>
        </a:xfrm>
      </xdr:grpSpPr>
      <xdr:pic>
        <xdr:nvPicPr>
          <xdr:cNvPr id="5" name="Picture 4">
            <a:extLst>
              <a:ext uri="{FF2B5EF4-FFF2-40B4-BE49-F238E27FC236}">
                <a16:creationId xmlns:a16="http://schemas.microsoft.com/office/drawing/2014/main" id="{49285107-2894-4A4E-8D13-4C14D740A3D3}"/>
              </a:ext>
            </a:extLst>
          </xdr:cNvPr>
          <xdr:cNvPicPr>
            <a:picLocks noChangeAspect="1"/>
          </xdr:cNvPicPr>
        </xdr:nvPicPr>
        <xdr:blipFill rotWithShape="1">
          <a:blip xmlns:r="http://schemas.openxmlformats.org/officeDocument/2006/relationships" r:embed="rId2"/>
          <a:srcRect b="15528"/>
          <a:stretch/>
        </xdr:blipFill>
        <xdr:spPr>
          <a:xfrm>
            <a:off x="5934076" y="3343275"/>
            <a:ext cx="2286000" cy="495300"/>
          </a:xfrm>
          <a:prstGeom prst="rect">
            <a:avLst/>
          </a:prstGeom>
        </xdr:spPr>
      </xdr:pic>
      <xdr:sp macro="" textlink="">
        <xdr:nvSpPr>
          <xdr:cNvPr id="8" name="Rectangle 30">
            <a:extLst>
              <a:ext uri="{FF2B5EF4-FFF2-40B4-BE49-F238E27FC236}">
                <a16:creationId xmlns:a16="http://schemas.microsoft.com/office/drawing/2014/main" id="{19111A4B-A025-48E7-B62A-8B3515D600D1}"/>
              </a:ext>
            </a:extLst>
          </xdr:cNvPr>
          <xdr:cNvSpPr/>
        </xdr:nvSpPr>
        <xdr:spPr>
          <a:xfrm>
            <a:off x="5819775" y="2724150"/>
            <a:ext cx="2457450" cy="1181100"/>
          </a:xfrm>
          <a:prstGeom prst="rect">
            <a:avLst/>
          </a:prstGeom>
          <a:no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ysClr val="windowText" lastClr="000000"/>
              </a:solidFill>
            </a:endParaRPr>
          </a:p>
        </xdr:txBody>
      </xdr:sp>
      <xdr:sp macro="" textlink="">
        <xdr:nvSpPr>
          <xdr:cNvPr id="9" name="Rectangle 31">
            <a:extLst>
              <a:ext uri="{FF2B5EF4-FFF2-40B4-BE49-F238E27FC236}">
                <a16:creationId xmlns:a16="http://schemas.microsoft.com/office/drawing/2014/main" id="{9DD39084-940A-49C4-923C-3E3162901A88}"/>
              </a:ext>
            </a:extLst>
          </xdr:cNvPr>
          <xdr:cNvSpPr/>
        </xdr:nvSpPr>
        <xdr:spPr>
          <a:xfrm>
            <a:off x="5829622" y="2724150"/>
            <a:ext cx="2343242" cy="23660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100" b="1">
                <a:solidFill>
                  <a:sysClr val="windowText" lastClr="000000"/>
                </a:solidFill>
              </a:rPr>
              <a:t>Step 2:</a:t>
            </a:r>
          </a:p>
        </xdr:txBody>
      </xdr:sp>
      <xdr:sp macro="" textlink="">
        <xdr:nvSpPr>
          <xdr:cNvPr id="11" name="Rectangle 32">
            <a:extLst>
              <a:ext uri="{FF2B5EF4-FFF2-40B4-BE49-F238E27FC236}">
                <a16:creationId xmlns:a16="http://schemas.microsoft.com/office/drawing/2014/main" id="{E8455EB6-FCCA-4294-9BFC-7BB2FD7FD549}"/>
              </a:ext>
            </a:extLst>
          </xdr:cNvPr>
          <xdr:cNvSpPr/>
        </xdr:nvSpPr>
        <xdr:spPr>
          <a:xfrm>
            <a:off x="5839468" y="2913431"/>
            <a:ext cx="2333395" cy="48266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100" baseline="0">
                <a:solidFill>
                  <a:sysClr val="windowText" lastClr="000000"/>
                </a:solidFill>
              </a:rPr>
              <a:t>Check the formula bar above the Excel grid</a:t>
            </a:r>
            <a:endParaRPr lang="en-US" sz="1100">
              <a:solidFill>
                <a:sysClr val="windowText" lastClr="000000"/>
              </a:solidFill>
            </a:endParaRPr>
          </a:p>
        </xdr:txBody>
      </xdr:sp>
      <xdr:sp macro="" textlink="">
        <xdr:nvSpPr>
          <xdr:cNvPr id="13" name="Oval 36">
            <a:extLst>
              <a:ext uri="{FF2B5EF4-FFF2-40B4-BE49-F238E27FC236}">
                <a16:creationId xmlns:a16="http://schemas.microsoft.com/office/drawing/2014/main" id="{C00C327D-76EE-4019-BE51-EF1DB85CDA1C}"/>
              </a:ext>
            </a:extLst>
          </xdr:cNvPr>
          <xdr:cNvSpPr/>
        </xdr:nvSpPr>
        <xdr:spPr>
          <a:xfrm>
            <a:off x="7276918" y="3310914"/>
            <a:ext cx="945173" cy="312310"/>
          </a:xfrm>
          <a:prstGeom prst="ellipse">
            <a:avLst/>
          </a:prstGeom>
          <a:noFill/>
          <a:ln w="28575">
            <a:solidFill>
              <a:schemeClr val="accent6">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8</xdr:col>
      <xdr:colOff>76201</xdr:colOff>
      <xdr:row>17</xdr:row>
      <xdr:rowOff>123825</xdr:rowOff>
    </xdr:from>
    <xdr:to>
      <xdr:col>12</xdr:col>
      <xdr:colOff>21337</xdr:colOff>
      <xdr:row>20</xdr:row>
      <xdr:rowOff>23891</xdr:rowOff>
    </xdr:to>
    <xdr:graphicFrame macro="">
      <xdr:nvGraphicFramePr>
        <xdr:cNvPr id="24" name="Chart 23" descr="Geographic chart showing location of island in the San Juan Islands">
          <a:extLst>
            <a:ext uri="{FF2B5EF4-FFF2-40B4-BE49-F238E27FC236}">
              <a16:creationId xmlns:a16="http://schemas.microsoft.com/office/drawing/2014/main" id="{6F627D3F-CD5F-4A78-BBC5-5069A259810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5</xdr:col>
      <xdr:colOff>85725</xdr:colOff>
      <xdr:row>17</xdr:row>
      <xdr:rowOff>123825</xdr:rowOff>
    </xdr:from>
    <xdr:to>
      <xdr:col>7</xdr:col>
      <xdr:colOff>495300</xdr:colOff>
      <xdr:row>20</xdr:row>
      <xdr:rowOff>23891</xdr:rowOff>
    </xdr:to>
    <xdr:graphicFrame macro="">
      <xdr:nvGraphicFramePr>
        <xdr:cNvPr id="25" name="Chart 24" descr="Satellite photo of island">
          <a:extLst>
            <a:ext uri="{FF2B5EF4-FFF2-40B4-BE49-F238E27FC236}">
              <a16:creationId xmlns:a16="http://schemas.microsoft.com/office/drawing/2014/main" id="{8DE1C898-A3C3-4F15-9AE5-6DA77C921A3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3</xdr:col>
      <xdr:colOff>0</xdr:colOff>
      <xdr:row>17</xdr:row>
      <xdr:rowOff>123825</xdr:rowOff>
    </xdr:from>
    <xdr:to>
      <xdr:col>4</xdr:col>
      <xdr:colOff>822960</xdr:colOff>
      <xdr:row>20</xdr:row>
      <xdr:rowOff>19050</xdr:rowOff>
    </xdr:to>
    <xdr:graphicFrame macro="">
      <xdr:nvGraphicFramePr>
        <xdr:cNvPr id="34" name="Chart 33" descr="Aerial photo of island">
          <a:extLst>
            <a:ext uri="{FF2B5EF4-FFF2-40B4-BE49-F238E27FC236}">
              <a16:creationId xmlns:a16="http://schemas.microsoft.com/office/drawing/2014/main" id="{86E973BE-DB80-4F9D-9BC5-7FE0198926F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3</xdr:col>
      <xdr:colOff>7327</xdr:colOff>
      <xdr:row>10</xdr:row>
      <xdr:rowOff>102577</xdr:rowOff>
    </xdr:from>
    <xdr:to>
      <xdr:col>3</xdr:col>
      <xdr:colOff>2272238</xdr:colOff>
      <xdr:row>10</xdr:row>
      <xdr:rowOff>1318846</xdr:rowOff>
    </xdr:to>
    <xdr:pic>
      <xdr:nvPicPr>
        <xdr:cNvPr id="7" name="Picture 6" descr="Satellite photo of island">
          <a:extLst>
            <a:ext uri="{FF2B5EF4-FFF2-40B4-BE49-F238E27FC236}">
              <a16:creationId xmlns:a16="http://schemas.microsoft.com/office/drawing/2014/main" id="{BDF41AF0-0747-4403-B97A-85CA7F0EE3F8}"/>
            </a:ext>
          </a:extLst>
        </xdr:cNvPr>
        <xdr:cNvPicPr>
          <a:picLocks noChangeAspect="1"/>
        </xdr:cNvPicPr>
      </xdr:nvPicPr>
      <xdr:blipFill>
        <a:blip xmlns:r="http://schemas.openxmlformats.org/officeDocument/2006/relationships" r:embed="rId6"/>
        <a:stretch>
          <a:fillRect/>
        </a:stretch>
      </xdr:blipFill>
      <xdr:spPr>
        <a:xfrm>
          <a:off x="300404" y="2747596"/>
          <a:ext cx="2264911" cy="1216269"/>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5</xdr:col>
      <xdr:colOff>1133475</xdr:colOff>
      <xdr:row>7</xdr:row>
      <xdr:rowOff>0</xdr:rowOff>
    </xdr:from>
    <xdr:to>
      <xdr:col>15</xdr:col>
      <xdr:colOff>571500</xdr:colOff>
      <xdr:row>21</xdr:row>
      <xdr:rowOff>0</xdr:rowOff>
    </xdr:to>
    <xdr:graphicFrame macro="">
      <xdr:nvGraphicFramePr>
        <xdr:cNvPr id="9" name="Charting LatLong" descr="Chart used in this activity. When Latitude and Longitude are added to the table, the locations of these islands are added to this map.">
          <a:extLst>
            <a:ext uri="{FF2B5EF4-FFF2-40B4-BE49-F238E27FC236}">
              <a16:creationId xmlns:a16="http://schemas.microsoft.com/office/drawing/2014/main" id="{201AAA8C-6853-40E7-98BB-79E2884D69A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15</xdr:col>
      <xdr:colOff>285750</xdr:colOff>
      <xdr:row>8</xdr:row>
      <xdr:rowOff>180975</xdr:rowOff>
    </xdr:from>
    <xdr:to>
      <xdr:col>19</xdr:col>
      <xdr:colOff>9525</xdr:colOff>
      <xdr:row>19</xdr:row>
      <xdr:rowOff>0</xdr:rowOff>
    </xdr:to>
    <xdr:pic>
      <xdr:nvPicPr>
        <xdr:cNvPr id="13" name="Image_Sea Location" descr="Map illustrating Salish Sea location, where the Southern Resident orcas live">
          <a:extLst>
            <a:ext uri="{FF2B5EF4-FFF2-40B4-BE49-F238E27FC236}">
              <a16:creationId xmlns:a16="http://schemas.microsoft.com/office/drawing/2014/main" id="{49A6F300-B211-4D73-A04B-CFDCDB6027B4}"/>
            </a:ext>
            <a:ext uri="{147F2762-F138-4A5C-976F-8EAC2B608ADB}">
              <a16:predDERef xmlns:a16="http://schemas.microsoft.com/office/drawing/2014/main" pred="{201AAA8C-6853-40E7-98BB-79E2884D69A7}"/>
            </a:ext>
          </a:extLst>
        </xdr:cNvPr>
        <xdr:cNvPicPr>
          <a:picLocks noChangeAspect="1"/>
        </xdr:cNvPicPr>
      </xdr:nvPicPr>
      <xdr:blipFill>
        <a:blip xmlns:r="http://schemas.openxmlformats.org/officeDocument/2006/relationships" r:embed="rId2"/>
        <a:stretch>
          <a:fillRect/>
        </a:stretch>
      </xdr:blipFill>
      <xdr:spPr>
        <a:xfrm>
          <a:off x="9115425" y="2181225"/>
          <a:ext cx="2438400" cy="2438400"/>
        </a:xfrm>
        <a:prstGeom prst="rect">
          <a:avLst/>
        </a:prstGeom>
      </xdr:spPr>
    </xdr:pic>
    <xdr:clientData/>
  </xdr:twoCellAnchor>
  <xdr:twoCellAnchor>
    <xdr:from>
      <xdr:col>15</xdr:col>
      <xdr:colOff>419548</xdr:colOff>
      <xdr:row>23</xdr:row>
      <xdr:rowOff>0</xdr:rowOff>
    </xdr:from>
    <xdr:to>
      <xdr:col>18</xdr:col>
      <xdr:colOff>848173</xdr:colOff>
      <xdr:row>33</xdr:row>
      <xdr:rowOff>142875</xdr:rowOff>
    </xdr:to>
    <xdr:graphicFrame macro="">
      <xdr:nvGraphicFramePr>
        <xdr:cNvPr id="5" name="Badge questions" descr="Pie chart illustrating badge progress.">
          <a:extLst>
            <a:ext uri="{FF2B5EF4-FFF2-40B4-BE49-F238E27FC236}">
              <a16:creationId xmlns:a16="http://schemas.microsoft.com/office/drawing/2014/main" id="{B79F78D6-E982-48E0-B393-B8DA1D26145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0.xml><?xml version="1.0" encoding="utf-8"?>
<xdr:wsDr xmlns:xdr="http://schemas.openxmlformats.org/drawingml/2006/spreadsheetDrawing" xmlns:a="http://schemas.openxmlformats.org/drawingml/2006/main">
  <xdr:twoCellAnchor>
    <xdr:from>
      <xdr:col>3</xdr:col>
      <xdr:colOff>0</xdr:colOff>
      <xdr:row>8</xdr:row>
      <xdr:rowOff>0</xdr:rowOff>
    </xdr:from>
    <xdr:to>
      <xdr:col>4</xdr:col>
      <xdr:colOff>0</xdr:colOff>
      <xdr:row>26</xdr:row>
      <xdr:rowOff>238124</xdr:rowOff>
    </xdr:to>
    <xdr:graphicFrame macro="">
      <xdr:nvGraphicFramePr>
        <xdr:cNvPr id="4" name="Final Badge" descr="Printable badge for certificate progress">
          <a:extLst>
            <a:ext uri="{FF2B5EF4-FFF2-40B4-BE49-F238E27FC236}">
              <a16:creationId xmlns:a16="http://schemas.microsoft.com/office/drawing/2014/main" id="{716D9635-B712-4F16-8D6D-65D7007CC43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1.xml><?xml version="1.0" encoding="utf-8"?>
<xdr:wsDr xmlns:xdr="http://schemas.openxmlformats.org/drawingml/2006/spreadsheetDrawing" xmlns:a="http://schemas.openxmlformats.org/drawingml/2006/main">
  <xdr:twoCellAnchor editAs="oneCell">
    <xdr:from>
      <xdr:col>6</xdr:col>
      <xdr:colOff>47625</xdr:colOff>
      <xdr:row>1</xdr:row>
      <xdr:rowOff>85725</xdr:rowOff>
    </xdr:from>
    <xdr:to>
      <xdr:col>8</xdr:col>
      <xdr:colOff>361950</xdr:colOff>
      <xdr:row>5</xdr:row>
      <xdr:rowOff>124123</xdr:rowOff>
    </xdr:to>
    <xdr:pic>
      <xdr:nvPicPr>
        <xdr:cNvPr id="3" name="Orca1">
          <a:extLst>
            <a:ext uri="{FF2B5EF4-FFF2-40B4-BE49-F238E27FC236}">
              <a16:creationId xmlns:a16="http://schemas.microsoft.com/office/drawing/2014/main" id="{95A6A686-B460-43A3-A5B8-B54FCC5E9ED7}"/>
            </a:ext>
            <a:ext uri="{147F2762-F138-4A5C-976F-8EAC2B608ADB}">
              <a16:predDERef xmlns:a16="http://schemas.microsoft.com/office/drawing/2014/main" pred="{F187903D-062D-4D21-84A0-D1255645A54F}"/>
            </a:ext>
            <a:ext uri="{C183D7F6-B498-43B3-948B-1728B52AA6E4}">
              <adec:decorative xmlns:adec="http://schemas.microsoft.com/office/drawing/2017/decorative" val="1"/>
            </a:ext>
          </a:extLst>
        </xdr:cNvPr>
        <xdr:cNvPicPr>
          <a:picLocks noChangeAspect="1"/>
        </xdr:cNvPicPr>
      </xdr:nvPicPr>
      <xdr:blipFill>
        <a:blip xmlns:r="http://schemas.openxmlformats.org/officeDocument/2006/relationships" r:embed="rId1"/>
        <a:stretch>
          <a:fillRect/>
        </a:stretch>
      </xdr:blipFill>
      <xdr:spPr>
        <a:xfrm>
          <a:off x="4152900" y="228600"/>
          <a:ext cx="1685925" cy="943273"/>
        </a:xfrm>
        <a:prstGeom prst="rect">
          <a:avLst/>
        </a:prstGeom>
      </xdr:spPr>
    </xdr:pic>
    <xdr:clientData/>
  </xdr:twoCellAnchor>
</xdr:wsDr>
</file>

<file path=xl/queryTables/queryTable1.xml><?xml version="1.0" encoding="utf-8"?>
<queryTable xmlns="http://schemas.openxmlformats.org/spreadsheetml/2006/main" xmlns:mc="http://schemas.openxmlformats.org/markup-compatibility/2006" xmlns:xr16="http://schemas.microsoft.com/office/spreadsheetml/2017/revision16" mc:Ignorable="xr16" name="ExternalData_1" connectionId="1" xr16:uid="{F3DAE31A-8ABC-4BD8-BF3D-500E058D7C14}" autoFormatId="16" applyNumberFormats="0" applyBorderFormats="0" applyFontFormats="0" applyPatternFormats="0" applyAlignmentFormats="0" applyWidthHeightFormats="0">
  <queryTableRefresh nextId="2">
    <queryTableFields count="1">
      <queryTableField id="1" name="Animals" tableColumnId="1"/>
    </queryTableFields>
  </queryTableRefresh>
</queryTable>
</file>

<file path=xl/queryTables/queryTable2.xml><?xml version="1.0" encoding="utf-8"?>
<queryTable xmlns="http://schemas.openxmlformats.org/spreadsheetml/2006/main" xmlns:mc="http://schemas.openxmlformats.org/markup-compatibility/2006" xmlns:xr16="http://schemas.microsoft.com/office/spreadsheetml/2017/revision16" mc:Ignorable="xr16" name="ExternalData_1" connectionId="4" xr16:uid="{8CA2701A-06E3-4B50-A15D-3CD1A51D5219}" autoFormatId="16" applyNumberFormats="0" applyBorderFormats="0" applyFontFormats="0" applyPatternFormats="0" applyAlignmentFormats="0" applyWidthHeightFormats="0">
  <queryTableRefresh nextId="4">
    <queryTableFields count="1">
      <queryTableField id="1" name="Taxonomoy" tableColumnId="1"/>
    </queryTableFields>
  </queryTableRefresh>
</queryTable>
</file>

<file path=xl/queryTables/queryTable3.xml><?xml version="1.0" encoding="utf-8"?>
<queryTable xmlns="http://schemas.openxmlformats.org/spreadsheetml/2006/main" xmlns:mc="http://schemas.openxmlformats.org/markup-compatibility/2006" xmlns:xr16="http://schemas.microsoft.com/office/spreadsheetml/2017/revision16" mc:Ignorable="xr16" name="ExternalData_1" connectionId="2" xr16:uid="{00000000-0016-0000-0000-000000000000}" autoFormatId="16" applyNumberFormats="0" applyBorderFormats="0" applyFontFormats="0" applyPatternFormats="0" applyAlignmentFormats="0" applyWidthHeightFormats="0">
  <queryTableRefresh nextId="5">
    <queryTableFields count="1">
      <queryTableField id="4" name="J Pod Orcas" tableColumnId="1"/>
    </queryTableFields>
  </queryTableRefresh>
</queryTable>
</file>

<file path=xl/queryTables/queryTable4.xml><?xml version="1.0" encoding="utf-8"?>
<queryTable xmlns="http://schemas.openxmlformats.org/spreadsheetml/2006/main" xmlns:mc="http://schemas.openxmlformats.org/markup-compatibility/2006" xmlns:xr16="http://schemas.microsoft.com/office/spreadsheetml/2017/revision16" mc:Ignorable="xr16" name="ExternalData_1" connectionId="3" xr16:uid="{D317588F-4159-4F1E-9AF3-378FD7AC3969}" autoFormatId="16" applyNumberFormats="0" applyBorderFormats="0" applyFontFormats="0" applyPatternFormats="0" applyAlignmentFormats="0" applyWidthHeightFormats="0">
  <queryTableRefresh nextId="2">
    <queryTableFields count="1">
      <queryTableField id="1" name="Locations" tableColumnId="1"/>
    </queryTableFields>
  </queryTableRefresh>
</queryTable>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68">
  <rv s="0">
    <v>0</v>
    <v>killer whale</v>
    <v>1</v>
    <v>Generic</v>
    <v>mammals</v>
    <v>killer whale</v>
    <v>dolphins, killer whales and pilot whales</v>
    <v>orca</v>
    <v>animals</v>
    <v>whales, dolphins and porpoises</v>
    <v>chordates</v>
    <v>Orcinus orca</v>
    <v>killer whale</v>
    <v>killer whale</v>
    <v>The killer whale (Orcinus orca), also known as the orca, is a toothed whale belonging to the oceanic dolphin family, of which it is the largest member.</v>
  </rv>
  <rv s="0">
    <v>0</v>
    <v>pacific white-sided dolphin</v>
    <v>1</v>
    <v>Generic</v>
    <v>mammals</v>
    <v>pacific white-sided dolphin</v>
    <v>dolphins, killer whales and pilot whales</v>
    <v>Lagenorhynchus</v>
    <v>animals</v>
    <v>whales, dolphins and porpoises</v>
    <v>chordates</v>
    <v>Lagenorhynchus obliquidens</v>
    <v>pacific white-sided dolphin</v>
    <v>pacific white-sided dolphin</v>
    <v>The Pacific white–sided dolphin (Lagenorhynchus obliquidens) is a very active dolphin found in the cool to temperate waters of the North Pacific Ocean.</v>
  </rv>
  <rv s="0">
    <v>0</v>
    <v>humpback whale</v>
    <v>1</v>
    <v>Generic</v>
    <v>mammals</v>
    <v>humpback whale</v>
    <v>rorqual whales</v>
    <v>humpback whale</v>
    <v>animals</v>
    <v>whales, dolphins and porpoises</v>
    <v>chordates</v>
    <v>Megaptera novaeangliae</v>
    <v>humpback whale</v>
    <v>humpback whale</v>
    <v>The humpback whale (Megaptera novaeangliae) is a species of baleen whale. It is one of the larger rorqual species, with adults ranging in length from 12–16 m (39–52 ft) and weighing around 25–30 t (28–33 short tons).</v>
  </rv>
  <rv s="0">
    <v>0</v>
    <v>harbor seal</v>
    <v>1</v>
    <v>Generic</v>
    <v>mammals</v>
    <v>harbor seal</v>
    <v>earless seals</v>
    <v>Phoca</v>
    <v>animals</v>
    <v>carnivores</v>
    <v>chordates</v>
    <v>Phoca vitulina</v>
    <v>harbor seal</v>
    <v>harbor seal</v>
    <v>The harbor (or harbour) seal (Phoca vitulina), also known as the common seal, is a true seal found along temperate and Arctic marine coastlines of the Northern Hemisphere.</v>
  </rv>
  <rv s="0">
    <v>0</v>
    <v>Chinook salmon</v>
    <v>1</v>
    <v>Generic</v>
    <v>ray-finned fishes</v>
    <v>Chinook salmon</v>
    <v>salmonids</v>
    <v>Oncorhynchus</v>
    <v>animals</v>
    <v>salmons</v>
    <v>chordates</v>
    <v>Oncorhynchus tshawytscha</v>
    <v>Chinook salmon</v>
    <v>Chinook salmon</v>
    <v>The Chinook salmon (Oncorhynchus tshawytscha) is the largest species of Pacific salmon as well as the largest in the genus Oncorhynchus. Its common name is derived from the Chinookan peoples.</v>
  </rv>
  <rv s="0">
    <v>0</v>
    <v>dungeness crab</v>
    <v>1</v>
    <v>Generic</v>
    <v>woodlice, shrimps, lobsters and crabs</v>
    <v>dungeness crab</v>
    <v>rock crabs</v>
    <v>Cancer</v>
    <v>animals</v>
    <v>shrimps, lobsters, crabs and hermit crabs</v>
    <v>arthropods</v>
    <v>Cancer magister</v>
    <v>dungeness crab</v>
    <v>dungeness crab</v>
    <v>‎The Dungeness crab, Metacarcinus magister (the naming convention recognised by WoRMS) or Cancer magister (the naming convention recognised by ITIS), is a species of crab that inhabits eelgrass beds and water bottoms on the west coast of North America.</v>
  </rv>
  <rv s="0">
    <v>0</v>
    <v>osprey</v>
    <v>1</v>
    <v>Generic</v>
    <v>birds</v>
    <v>osprey</v>
    <v>Accipitridae</v>
    <v>Pandion</v>
    <v>animals</v>
    <v>herons and storks</v>
    <v>chordates</v>
    <v>Pandion haliaetus</v>
    <v>osprey</v>
    <v>osprey</v>
    <v>The osprey or more specifically the western osprey (Pandion haliaetus) — also called sea hawk, river hawk, and fish hawk — is a diurnal, fish–eating bird of prey with a cosmopolitan range.</v>
  </rv>
  <rv s="0">
    <v>0</v>
    <v>northern river otter</v>
    <v>1</v>
    <v>Generic</v>
    <v>mammals</v>
    <v>northern river otter</v>
    <v>badgers, otters and weasels</v>
    <v>Lontra</v>
    <v>animals</v>
    <v>carnivores</v>
    <v>chordates</v>
    <v>Lontra canadensis</v>
    <v>northern river otter</v>
    <v>northern river otter</v>
    <v>The North American river otter (Lontra canadensis), also known as the northern river otter or common otter, is a semiaquatic mammal endemic to the North American continent found in and along its waterways and coasts.</v>
  </rv>
  <rv s="0">
    <v>0</v>
    <v>dog</v>
    <v>1</v>
    <v>Generic</v>
    <v>mammals</v>
    <v>dog</v>
    <v>coyotes, dogs, foxes, jackals and wolves</v>
    <v>Canis</v>
    <v>animals</v>
    <v>carnivores</v>
    <v>chordates</v>
    <v>Canis lupus familiaris</v>
    <v>gray wolf</v>
    <v>dog</v>
    <v>The dog (Canis familiaris when considered a distinct species or Canis lupus familiaris when considered a subspecies of the wolf) is a domesticated carnivore of the family Canidae.</v>
  </rv>
  <rv s="0">
    <v>0</v>
    <v>domestic cat</v>
    <v>1</v>
    <v>Generic</v>
    <v>mammals</v>
    <v>domestic cat</v>
    <v>cats</v>
    <v>Felis</v>
    <v>animals</v>
    <v>carnivores</v>
    <v>chordates</v>
    <v>Felis catus</v>
    <v>domestic cat</v>
    <v>domestic cat</v>
    <v>The cat (Felis catus) is a domestic species of small carnivorous mammal. It is the only domesticated species in the family Felidae and is often referred to as the domestic cat to distinguish it from the wild members of the family.</v>
  </rv>
  <rv s="0">
    <v>0</v>
    <v>human</v>
    <v>1</v>
    <v>Generic</v>
    <v>mammals</v>
    <v>human</v>
    <v>humans, chimpanzees, gorillas and orangutans</v>
    <v>humans</v>
    <v>animals</v>
    <v>primates</v>
    <v>chordates</v>
    <v>Homo sapiens</v>
    <v>human</v>
    <v>human</v>
    <v>Humans (Homo sapiens) are highly intelligent primates that have become the dominant species on Earth.</v>
  </rv>
  <rv s="0">
    <v>0</v>
    <v>Eelgrass</v>
    <v>1</v>
    <v>Generic</v>
    <v>monocots</v>
    <v>Eelgrass</v>
    <v>zosteracaeae</v>
    <v>eelgrass</v>
    <v>plants</v>
    <v>najadales</v>
    <v>tracheophytes</v>
    <v>zostera marina</v>
    <v>seawrack</v>
    <v>Eelgrass</v>
    <v xml:space="preserve">Zostera marina is a flowering vascular plant species as one of many kinds of seagrass, with this species known primarily by the English name of eelgrass with seawrack much less used, and refers to the plant after breaking loose from the submerged wetland soil, and drifting free with ocean current and waves to a coast seashore. </v>
  </rv>
  <rv s="1">
    <v>2</v>
    <v>animals</v>
    <v>1</v>
    <v>Generic</v>
    <v>animals</v>
    <v>Eukarya</v>
    <v>Animalia</v>
    <v>kingdom</v>
    <v>animals</v>
    <v>Animals (also called Metazoa) are multicellular eukaryotic organisms that form the biological kingdom Animalia.</v>
  </rv>
  <rv s="1">
    <v>2</v>
    <v>eukarya</v>
    <v>1</v>
    <v>Generic</v>
    <v>eukarya</v>
    <v>Life</v>
    <v>Eukaryota</v>
    <v>domain</v>
    <v>eukarya</v>
    <v>Eukaryotes are organisms whose cells have a nucleus enclosed within a nuclear envelope. The domain Eukarya makes up one of the three domains of life.</v>
  </rv>
  <rv s="1">
    <v>2</v>
    <v>chordates</v>
    <v>1</v>
    <v>Generic</v>
    <v>chordates</v>
    <v>Animalia</v>
    <v>Chordata</v>
    <v>phylum</v>
    <v>chordates</v>
    <v>A chordate is an animal of the phylum Chordata. During some period of their life cycle, chordates possess a notochord, a dorsal nerve cord, pharyngeal slits, and a post–anal tail.</v>
  </rv>
  <rv s="1">
    <v>2</v>
    <v>arthropods</v>
    <v>1</v>
    <v>Generic</v>
    <v>arthropods</v>
    <v>Animalia</v>
    <v>Arthropoda</v>
    <v>phylum</v>
    <v>arthropods</v>
    <v>An arthropod @ii@ 'joint', and πούς(pous) 'foot' (gen. ποδός)) is an invertebrate animal having an exoskeleton, a segmented body, and paired jointed appendages.</v>
  </rv>
  <rv s="1">
    <v>2</v>
    <v>mammals</v>
    <v>1</v>
    <v>Generic</v>
    <v>mammals</v>
    <v>Chordata</v>
    <v>Mammalia</v>
    <v>class</v>
    <v>mammals</v>
    <v>‎Mammals are a group of vertebrate animals, characterized by the presence of mammary glands for nursing their young, a neocortex, fur or hair, and three middle ear bones.</v>
  </rv>
  <rv s="1">
    <v>2</v>
    <v>ray-finned fishes</v>
    <v>1</v>
    <v>Generic</v>
    <v>ray-finned fishes</v>
    <v>Chordata</v>
    <v>Actinopterygii</v>
    <v>class</v>
    <v>ray-finned fishes</v>
    <v>Actinopterygii, members of which are known as ray–finned fishes, is a class or subclass of the bony fishes.</v>
  </rv>
  <rv s="1">
    <v>2</v>
    <v>woodlice, shrimps, lobsters and crabs</v>
    <v>1</v>
    <v>Generic</v>
    <v>woodlice, shrimps, lobsters and crabs</v>
    <v>Arthropoda</v>
    <v>Malacostraca</v>
    <v>class</v>
    <v>woodlice, shrimps, lobsters and crabs</v>
    <v>Malacostraca is the largest of the six classes of crustaceans, containing about 40,000 living species, divided among 16 orders.</v>
  </rv>
  <rv s="1">
    <v>2</v>
    <v>birds</v>
    <v>1</v>
    <v>Generic</v>
    <v>birds</v>
    <v>Chordata</v>
    <v>Aves</v>
    <v>class</v>
    <v>birds</v>
    <v>Birds are a group of warm–blooded vertebrates constituting the class Aves, characterised by feathers, toothless beaked jaws, the laying of hard–shelled eggs, a high metabolic rate, a four–chambered heart, and a strong yet lightweight skeleton.</v>
  </rv>
  <rv s="1">
    <v>2</v>
    <v>whales, dolphins and porpoises</v>
    <v>1</v>
    <v>Generic</v>
    <v>whales, dolphins and porpoises</v>
    <v>Mammalia</v>
    <v>Cetacea</v>
    <v>order</v>
    <v>whales, dolphins and porpoises</v>
    <v>Cetaceans are fully aquatic mammals constituting the infraorder Cetacea. There are around 89 living species in this order.</v>
  </rv>
  <rv s="1">
    <v>2</v>
    <v>carnivores</v>
    <v>1</v>
    <v>Generic</v>
    <v>carnivores</v>
    <v>Mammalia</v>
    <v>Carnivora</v>
    <v>order</v>
    <v>carnivores</v>
    <v>Carnivora is an order of placental mammals that have specialized in primarily eating flesh.</v>
  </rv>
  <rv s="1">
    <v>2</v>
    <v>salmons</v>
    <v>1</v>
    <v>Generic</v>
    <v>salmons</v>
    <v>Actinopterygii</v>
    <v>Salmoniformes</v>
    <v>order</v>
    <v>salmons</v>
    <v>Salmoniformes are an order of fish that includes salmon, trout, chars, graylings, and freshwater whitefish. All Salmoniformes spawn in fresh water.</v>
  </rv>
  <rv s="1">
    <v>2</v>
    <v>shrimps, lobsters, crabs and hermit crabs</v>
    <v>1</v>
    <v>Generic</v>
    <v>shrimps, lobsters, crabs and hermit crabs</v>
    <v>Malacostraca</v>
    <v>Decapoda</v>
    <v>order</v>
    <v>shrimps, lobsters, crabs and hermit crabs</v>
    <v>The Decapoda or decapods (literally "ten–footed") are an order of crustaceans within the class Malacostraca, including many familiar groups, such as crayfish, crabs, lobsters, prawns, and shrimp. Most decapods are scavengers.</v>
  </rv>
  <rv s="1">
    <v>2</v>
    <v>herons and storks</v>
    <v>1</v>
    <v>Generic</v>
    <v>herons and storks</v>
    <v>Aves</v>
    <v>Ciconiiformes</v>
    <v>order</v>
    <v>herons and storks</v>
    <v>The order Ciconiiformes has included a variety of large, long-legged wading birds with large bills: storks, herons, egrets, ibises, spoonbills, and several others.</v>
  </rv>
  <rv s="1">
    <v>2</v>
    <v>primates</v>
    <v>1</v>
    <v>Generic</v>
    <v>primates</v>
    <v>Mammalia</v>
    <v>Primates</v>
    <v>order</v>
    <v>primates</v>
    <v>A primate (from primus: "prime, first rank") is a eutherian mammal constituting the taxonomic order Primates.</v>
  </rv>
  <rv s="1">
    <v>2</v>
    <v>dolphins, killer whales and pilot whales</v>
    <v>1</v>
    <v>Generic</v>
    <v>dolphins, killer whales and pilot whales</v>
    <v>Cetacea</v>
    <v>Delphinidae</v>
    <v>family</v>
    <v>dolphins, killer whales and pilot whales</v>
    <v>Oceanic dolphins or Delphinidae are a widely distributed family of dolphins that live in the sea. Thirty extant species are described.</v>
  </rv>
  <rv s="1">
    <v>2</v>
    <v>rorqual whales</v>
    <v>1</v>
    <v>Generic</v>
    <v>rorqual whales</v>
    <v>Cetacea</v>
    <v>Balaenopteridae</v>
    <v>family</v>
    <v>rorqual whales</v>
    <v>Rorquals (Balaenopteridae) are the largest group of baleen whales, a family with nine extant species in two genera.</v>
  </rv>
  <rv s="1">
    <v>2</v>
    <v>earless seals</v>
    <v>1</v>
    <v>Generic</v>
    <v>earless seals</v>
    <v>Carnivora</v>
    <v>Phocidae</v>
    <v>family</v>
    <v>earless seals</v>
    <v>The earless seals, phocids or true seals are one of the three main groups of mammals within the seal lineage, Pinnipedia. All true seals are members of the family Phocidae.</v>
  </rv>
  <rv s="1">
    <v>2</v>
    <v>salmonids</v>
    <v>1</v>
    <v>Generic</v>
    <v>salmonids</v>
    <v>Salmoniformes</v>
    <v>Salmonidae</v>
    <v>family</v>
    <v>salmonids</v>
    <v>Salmonidae is a family of ray–finned fish, the only living family currently placed in the order Salmoniformes. It includes salmon, trout, chars, freshwater whitefishes, and graylings, which collectively are known as the salmonids.</v>
  </rv>
  <rv s="1">
    <v>2</v>
    <v>rock crabs</v>
    <v>1</v>
    <v>Generic</v>
    <v>rock crabs</v>
    <v>Decapoda</v>
    <v>Cancridae</v>
    <v>family</v>
    <v>rock crabs</v>
    <v>Cancridae is a family of crabs. It comprises six extant genera, including anatolikos, cancer, glebocarcinus, lobocarcinus, metacarcinus, and romaleon.</v>
  </rv>
  <rv s="1">
    <v>2</v>
    <v>Accipitridae</v>
    <v>1</v>
    <v>Generic</v>
    <v>Accipitridae</v>
    <v>Ciconiiformes</v>
    <v>Accipitridae</v>
    <v>family</v>
    <v>Accipitridae</v>
    <v>The Accipitridae, one of the three families within the order Accipitriformes (the others being Pandionidae and Sagittariidae), are a family of small to large birds with strongly hooked bills and variable morphology based on diet.</v>
  </rv>
  <rv s="1">
    <v>2</v>
    <v>badgers, otters and weasels</v>
    <v>1</v>
    <v>Generic</v>
    <v>badgers, otters and weasels</v>
    <v>Carnivora</v>
    <v>Mustelidae</v>
    <v>family</v>
    <v>badgers, otters and weasels</v>
    <v>The Mustelidae (weasel) are a family of carnivorous mammals, including weasels, badgers, otters, ferrets, martens, minks, and wolverines, among others.</v>
  </rv>
  <rv s="1">
    <v>2</v>
    <v>coyotes, dogs, foxes, jackals and wolves</v>
    <v>1</v>
    <v>Generic</v>
    <v>coyotes, dogs, foxes, jackals and wolves</v>
    <v>Carnivora</v>
    <v>Canidae</v>
    <v>family</v>
    <v>coyotes, dogs, foxes, jackals and wolves</v>
    <v>Canidae (from Latin, canis, "dog") is a biological family of dog–like carnivorans. A member of this family is called a canid.</v>
  </rv>
  <rv s="1">
    <v>2</v>
    <v>cats</v>
    <v>1</v>
    <v>Generic</v>
    <v>cats</v>
    <v>Carnivora</v>
    <v>Felidae</v>
    <v>family</v>
    <v>cats</v>
    <v>Felidae is a family of mammals in the order Carnivora, colloquially referred to as cats, and constitutes a clade. A member of this family is also called a felid.</v>
  </rv>
  <rv s="1">
    <v>2</v>
    <v>humans, chimpanzees, gorillas and orangutans</v>
    <v>1</v>
    <v>Generic</v>
    <v>humans, chimpanzees, gorillas and orangutans</v>
    <v>Primates</v>
    <v>Hominidae</v>
    <v>family</v>
    <v>humans, chimpanzees, gorillas and orangutans</v>
    <v>‎The Hominidae, whose members are known as great apes or hominids, are a taxonomic family of primates that includes eight extant species in four genera: Pongo, the Bornean, Sumatran and Tapanuli orangutan; Gorilla, the eastern and western gorilla; Pan, the common chimpanzee and the bonobo; and Homo, of which only modern humans remain.</v>
  </rv>
  <rv s="1">
    <v>2</v>
    <v>orca</v>
    <v>1</v>
    <v>Generic</v>
    <v>orca</v>
    <v>Delphinidae</v>
    <v>Orcinus</v>
    <v>genus</v>
    <v>orca</v>
    <v>Orcinus is a genus of Delphinidae, the family of carnivorous marine mammals known as dolphins. It includes the largest delphinid species, Orcinus orca, known as the orca or killer whale.</v>
  </rv>
  <rv s="1">
    <v>2</v>
    <v>Lagenorhynchus</v>
    <v>1</v>
    <v>Generic</v>
    <v>Lagenorhynchus</v>
    <v>Delphinidae</v>
    <v>Lagenorhynchus</v>
    <v>genus</v>
    <v>Lagenorhynchus</v>
    <v>Lagenorhynchus is a genus in the order Cetacea, traditionally containing six species:</v>
  </rv>
  <rv s="1">
    <v>2</v>
    <v>humpback whale</v>
    <v>1</v>
    <v>Generic</v>
    <v>humpback whale</v>
    <v>Balaenopteridae</v>
    <v>Megaptera</v>
    <v>genus</v>
    <v>humpback whale</v>
    <v>Megaptera is the genus for humpback whales (megaptera novaeangliae). They are very large at 14-17 meters in length as adults, weighing up to 40 metric tons. They are distinguishable by their distinctive body shape, with long pectoral fins and a knobbly head.</v>
  </rv>
  <rv s="1">
    <v>2</v>
    <v>Phoca</v>
    <v>1</v>
    <v>Generic</v>
    <v>Phoca</v>
    <v>Phocidae</v>
    <v>Phoca</v>
    <v>genus</v>
    <v>Phoca</v>
    <v>Phoca is a genus of the earless seals, within the family Phocidae. It now contains just two species, the common seal (or harbour seal) and the spotted seal (or largha seal).</v>
  </rv>
  <rv s="1">
    <v>2</v>
    <v>Oncorhynchus</v>
    <v>1</v>
    <v>Generic</v>
    <v>Oncorhynchus</v>
    <v>Salmonidae</v>
    <v>Oncorhynchus</v>
    <v>genus</v>
    <v>Oncorhynchus</v>
    <v>Oncorhynchus is a genus of fish in the family Salmonidae; it contains the Pacific salmon and Pacific trout.</v>
  </rv>
  <rv s="1">
    <v>2</v>
    <v>Cancer</v>
    <v>1</v>
    <v>Generic</v>
    <v>Cancer</v>
    <v>Cancridae</v>
    <v>Cancer</v>
    <v>genus</v>
    <v>Cancer</v>
    <v>Cancer is a genus of marine crabs in the family Cancridae.</v>
  </rv>
  <rv s="1">
    <v>2</v>
    <v>Pandion</v>
    <v>1</v>
    <v>Generic</v>
    <v>Pandion</v>
    <v>Accipitridae</v>
    <v>Pandion</v>
    <v>genus</v>
    <v>Pandion</v>
    <v>Pandion is a genus of birds of prey, known as ospreys, the only genus of family Pandionidae.</v>
  </rv>
  <rv s="1">
    <v>2</v>
    <v>Lontra</v>
    <v>1</v>
    <v>Generic</v>
    <v>Lontra</v>
    <v>Mustelidae</v>
    <v>Lontra</v>
    <v>genus</v>
    <v>Lontra</v>
    <v>Lontra is a genus of otters from the Americas.</v>
  </rv>
  <rv s="1">
    <v>2</v>
    <v>Canis</v>
    <v>1</v>
    <v>Generic</v>
    <v>Canis</v>
    <v>Canidae</v>
    <v>Canis</v>
    <v>genus</v>
    <v>Canis</v>
    <v>Canis is a genus of the Caninae containing multiple extant species, such as wolves, dogs, coyotes and jackals.</v>
  </rv>
  <rv s="1">
    <v>2</v>
    <v>Felis</v>
    <v>1</v>
    <v>Generic</v>
    <v>Felis</v>
    <v>Felidae</v>
    <v>Felis</v>
    <v>genus</v>
    <v>Felis</v>
    <v>Felis is a genus of small and medium–sized cat species native to most of Africa and south of 60° latitude in Europe and Asia to Indochina. The genus includes the domestic cat.</v>
  </rv>
  <rv s="1">
    <v>2</v>
    <v>humans</v>
    <v>1</v>
    <v>Generic</v>
    <v>humans</v>
    <v>Hominidae</v>
    <v>Homo</v>
    <v>genus</v>
    <v>humans</v>
    <v>‎Homo (meaning 'man') is the genus that emerged in the otherwise extinct genus Australopithecus that encompasses the extant species Homo sapiens (modern humans), plus several extinct species classified as either ancestral to or closely related to modern humans (depending on the species), most notably Homo erectus and Homo neanderthalensis.</v>
  </rv>
  <rv s="1">
    <v>2</v>
    <v>killer whale</v>
    <v>1</v>
    <v>Generic</v>
    <v>killer whale</v>
    <v>Orcinus</v>
    <v>Orcinus orca</v>
    <v>species</v>
    <v>killer whale</v>
    <v>The killer whale (Orcinus orca), also known as the orca, is a toothed whale belonging to the oceanic dolphin family, of which it is the largest member.</v>
  </rv>
  <rv s="1">
    <v>2</v>
    <v>pacific white-sided dolphin</v>
    <v>1</v>
    <v>Generic</v>
    <v>pacific white-sided dolphin</v>
    <v>Lagenorhynchus</v>
    <v>Lagenorhynchus obliquidens</v>
    <v>species</v>
    <v>pacific white-sided dolphin</v>
    <v>The Pacific white–sided dolphin (Lagenorhynchus obliquidens) is a very active dolphin found in the cool to temperate waters of the North Pacific Ocean.</v>
  </rv>
  <rv s="1">
    <v>2</v>
    <v>humpback whale</v>
    <v>1</v>
    <v>Generic</v>
    <v>humpback whale</v>
    <v>Megaptera</v>
    <v>Megaptera novaeangliae</v>
    <v>species</v>
    <v>humpback whale</v>
    <v>The humpback whale (Megaptera novaeangliae) is a species of baleen whale. It is one of the larger rorqual species, with adults ranging in length from 12–16 m (39–52 ft) and weighing around 25–30 t (28–33 short tons).</v>
  </rv>
  <rv s="1">
    <v>2</v>
    <v>harbor seal</v>
    <v>1</v>
    <v>Generic</v>
    <v>harbor seal</v>
    <v>Phoca</v>
    <v>Phoca vitulina</v>
    <v>species</v>
    <v>harbor seal</v>
    <v>The harbor (or harbour) seal (Phoca vitulina), also known as the common seal, is a true seal found along temperate and Arctic marine coastlines of the Northern Hemisphere.</v>
  </rv>
  <rv s="1">
    <v>2</v>
    <v>Chinook salmon</v>
    <v>1</v>
    <v>Generic</v>
    <v>Chinook salmon</v>
    <v>Oncorhynchus</v>
    <v>Oncorhynchus tshawytscha</v>
    <v>species</v>
    <v>Chinook salmon</v>
    <v>The Chinook salmon (Oncorhynchus tshawytscha) is the largest species of Pacific salmon as well as the largest in the genus Oncorhynchus. Its common name is derived from the Chinookan peoples.</v>
  </rv>
  <rv s="1">
    <v>2</v>
    <v>dungeness crab</v>
    <v>1</v>
    <v>Generic</v>
    <v>dungeness crab</v>
    <v>Cancer</v>
    <v>Cancer magister</v>
    <v>species</v>
    <v>dungeness crab</v>
    <v>‎The Dungeness crab, Metacarcinus magister (the naming convention recognised by WoRMS) or Cancer magister (the naming convention recognised by ITIS), is a species of crab that inhabits eelgrass beds and water bottoms on the west coast of North America.</v>
  </rv>
  <rv s="1">
    <v>2</v>
    <v>osprey</v>
    <v>1</v>
    <v>Generic</v>
    <v>osprey</v>
    <v>Pandion</v>
    <v>Pandion haliaetus</v>
    <v>species</v>
    <v>osprey</v>
    <v>The osprey or more specifically the western osprey (Pandion haliaetus) — also called sea hawk, river hawk, and fish hawk — is a diurnal, fish–eating bird of prey with a cosmopolitan range.</v>
  </rv>
  <rv s="1">
    <v>2</v>
    <v>northern river otter</v>
    <v>1</v>
    <v>Generic</v>
    <v>northern river otter</v>
    <v>Lontra</v>
    <v>Lontra canadensis</v>
    <v>species</v>
    <v>northern river otter</v>
    <v>The North American river otter (Lontra canadensis), also known as the northern river otter or common otter, is a semiaquatic mammal endemic to the North American continent found in and along its waterways and coasts.</v>
  </rv>
  <rv s="1">
    <v>2</v>
    <v>gray wolf</v>
    <v>1</v>
    <v>Generic</v>
    <v>gray wolf</v>
    <v>Canis</v>
    <v>Canis lupus</v>
    <v>species</v>
    <v>gray wolf</v>
    <v>The wolf (Canis lupus), also known as the gray wolf or grey wolf, is a large canine native to Eurasia and North America.</v>
  </rv>
  <rv s="1">
    <v>2</v>
    <v>domestic cat</v>
    <v>1</v>
    <v>Generic</v>
    <v>domestic cat</v>
    <v>Felis</v>
    <v>Felis catus</v>
    <v>species</v>
    <v>domestic cat</v>
    <v>The cat (Felis catus) is a domestic species of small carnivorous mammal. It is the only domesticated species in the family Felidae and is often referred to as the domestic cat to distinguish it from the wild members of the family.</v>
  </rv>
  <rv s="1">
    <v>2</v>
    <v>human</v>
    <v>1</v>
    <v>Generic</v>
    <v>human</v>
    <v>Homo</v>
    <v>Homo sapiens</v>
    <v>species</v>
    <v>human</v>
    <v>Humans (Homo sapiens) are highly intelligent primates that have become the dominant species on Earth.</v>
  </rv>
  <rv s="2">
    <v>3</v>
    <v>J1 Ruffles</v>
    <v>1</v>
    <v>Generic</v>
    <v>1951</v>
    <v>unknown - male orca</v>
    <v>2010</v>
    <v>Male</v>
    <v>(unknown)</v>
    <v>J1</v>
    <v>1951 - 2010</v>
    <v>L45 Asterix</v>
    <v>J1 Ruffles</v>
    <v>Ruffles</v>
    <v>0</v>
    <v>J1 Ruffles</v>
  </rv>
  <rv s="2">
    <v>3</v>
    <v>J2 Granny</v>
    <v>1</v>
    <v>Generic</v>
    <v>1911</v>
    <v>J12 Sissy</v>
    <v>2017</v>
    <v>Female</v>
    <v>(unknown)</v>
    <v>J2</v>
    <v>1911 - 2017</v>
    <v>(unknown)</v>
    <v>J2 Granny</v>
    <v>Granny</v>
    <v>1</v>
    <v>J2 Granny</v>
  </rv>
  <rv s="2">
    <v>3</v>
    <v>J3 Merlin</v>
    <v>1</v>
    <v>Generic</v>
    <v>1953</v>
    <v>unknown - male orca</v>
    <v>1995</v>
    <v>Male</v>
    <v>(unknown)</v>
    <v>J3</v>
    <v>1953 - 1995</v>
    <v>J7 Sucia</v>
    <v>J3 Merlin</v>
    <v>Merlin</v>
    <v>0</v>
    <v>J3 Merlin</v>
  </rv>
  <rv s="3">
    <v>4</v>
    <v>J2 Granny</v>
    <v>1</v>
    <v>Generic</v>
    <v>1911</v>
    <v>J12 Sissy</v>
    <v>2017</v>
    <v>Female</v>
    <v>(unknown)</v>
    <v>J2</v>
    <v>1911 - 2017</v>
    <v>(unknown)</v>
    <v>J2 Granny</v>
    <v>Granny</v>
    <v>1</v>
    <v>J2 Granny</v>
  </rv>
  <rv s="2">
    <v>3</v>
    <v>J4 Mama</v>
    <v>1</v>
    <v>Generic</v>
    <v>1957</v>
    <v>J11 Blossom, J15, J19 Shachi, J21 E.T.</v>
    <v>1995</v>
    <v>Female</v>
    <v>(unknown)</v>
    <v>J4</v>
    <v>1957 - 1995</v>
    <v>(unknown)</v>
    <v>J4 Mama</v>
    <v>Mama</v>
    <v>4</v>
    <v>J4 Mama</v>
  </rv>
  <rv s="3">
    <v>4</v>
    <v>J5 Saratoga</v>
    <v>1</v>
    <v>Generic</v>
    <v>1938</v>
    <v>J13, J17 Princess Angeline</v>
    <v>1997</v>
    <v>Female</v>
    <v>(unknown)</v>
    <v>J5</v>
    <v>1938 - 1997</v>
    <v>J9 Neah</v>
    <v>J5 Saratoga</v>
    <v>Saratoga</v>
    <v>2</v>
    <v>J5 Saratoga</v>
  </rv>
  <rv s="2">
    <v>3</v>
    <v>J5 Saratoga</v>
    <v>1</v>
    <v>Generic</v>
    <v>1938</v>
    <v>J13, J17 Princess Angeline</v>
    <v>1997</v>
    <v>Female</v>
    <v>(unknown)</v>
    <v>J5</v>
    <v>1938 - 1997</v>
    <v>J9 Neah</v>
    <v>J5 Saratoga</v>
    <v>Saratoga</v>
    <v>2</v>
    <v>J5 Saratoga</v>
  </rv>
  <rv s="3">
    <v>4</v>
    <v>J7 Sucia</v>
    <v>1</v>
    <v>Generic</v>
    <v>1939</v>
    <v>J3 Merlin, J16 Slick</v>
    <v>1983</v>
    <v>Female</v>
    <v>(unknown)</v>
    <v>J7</v>
    <v>1939 - 1983</v>
    <v>(unknown)</v>
    <v>J7 Sucia</v>
    <v>Sucia</v>
    <v>2</v>
    <v>J7 Sucia</v>
  </rv>
  <rv s="2">
    <v>3</v>
    <v>J6 Ralph</v>
    <v>1</v>
    <v>Generic</v>
    <v>1956</v>
    <v>unknown - male orca</v>
    <v>1998</v>
    <v>Male</v>
    <v>(unknown)</v>
    <v>J6</v>
    <v>1956 - 1998</v>
    <v>(unknown)</v>
    <v>J6 Ralph</v>
    <v>Ralph</v>
    <v>0</v>
    <v>J6 Ralph</v>
  </rv>
  <rv s="3">
    <v>4</v>
    <v>J12 Sissy</v>
    <v>1</v>
    <v>Generic</v>
    <v>1935</v>
    <v>J14 Samish, J24 Eltanin</v>
    <v>1996</v>
    <v>Female</v>
    <v>(unknown)</v>
    <v>J12</v>
    <v>1935 - 1996</v>
    <v>J2 Granny</v>
    <v>J12 Sissy</v>
    <v>Sissy</v>
    <v>2</v>
    <v>J12 Sissy</v>
  </rv>
  <rv s="2">
    <v>3</v>
    <v>J7 Sucia</v>
    <v>1</v>
    <v>Generic</v>
    <v>1939</v>
    <v>J3 Merlin, J16 Slick</v>
    <v>1983</v>
    <v>Female</v>
    <v>(unknown)</v>
    <v>J7</v>
    <v>1939 - 1983</v>
    <v>(unknown)</v>
    <v>J7 Sucia</v>
    <v>Sucia</v>
    <v>2</v>
    <v>J7 Sucia</v>
  </rv>
  <rv s="2">
    <v>3</v>
    <v>J8 Speiden</v>
    <v>1</v>
    <v>Generic</v>
    <v>1933</v>
    <v>none</v>
    <v>2013</v>
    <v>Female</v>
    <v>(unknown)</v>
    <v>J8</v>
    <v>1933 - 2013</v>
    <v>(unknown)</v>
    <v>J8 Speiden</v>
    <v>Speiden</v>
    <v>0</v>
    <v>J8 Speiden</v>
  </rv>
  <rv s="2">
    <v>3</v>
    <v>J9 Neah</v>
    <v>1</v>
    <v>Generic</v>
    <v>1917</v>
    <v>J5 Saratoga, J10 Tahoma</v>
    <v>1985</v>
    <v>Female</v>
    <v>(unknown)</v>
    <v>J9</v>
    <v>1917 - 1985</v>
    <v>(unknown)</v>
    <v>J9 Neah</v>
    <v>Neah</v>
    <v>2</v>
    <v>J9 Neah</v>
  </rv>
  <rv s="2">
    <v>3</v>
    <v>J10 Tahoma</v>
    <v>1</v>
    <v>Generic</v>
    <v>1962</v>
    <v>J18 Everett, J20 Ewok, J22 Oreo</v>
    <v>1999</v>
    <v>Female</v>
    <v>(unknown)</v>
    <v>J10</v>
    <v>1962 - 1999</v>
    <v>J9 Neah</v>
    <v>J10 Tahoma</v>
    <v>Tahoma</v>
    <v>3</v>
    <v>J10 Tahoma</v>
  </rv>
  <rv s="2">
    <v>3</v>
    <v>J11 Blossom</v>
    <v>1</v>
    <v>Generic</v>
    <v>1972</v>
    <v>J25 Sheekah, J27 Blackberry, J31 Tsuchi, J39 Mako, J11's calf</v>
    <v>2008</v>
    <v>Female</v>
    <v>(unknown)</v>
    <v>J11</v>
    <v>1972 - 2008</v>
    <v>J4 Mama</v>
    <v>J11 Blossom</v>
    <v>Blossom</v>
    <v>5</v>
    <v>J11 Blossom</v>
  </rv>
  <rv s="2">
    <v>3</v>
    <v>J12 Sissy</v>
    <v>1</v>
    <v>Generic</v>
    <v>1935</v>
    <v>J14 Samish, J24 Eltanin</v>
    <v>1996</v>
    <v>Female</v>
    <v>(unknown)</v>
    <v>J12</v>
    <v>1935 - 1996</v>
    <v>J2 Granny</v>
    <v>J12 Sissy</v>
    <v>Sissy</v>
    <v>2</v>
    <v>J12 Sissy</v>
  </rv>
  <rv s="2">
    <v>3</v>
    <v>J13</v>
    <v>1</v>
    <v>Generic</v>
    <v>1971</v>
    <v>none</v>
    <v>1980</v>
    <v>Female</v>
    <v>J9 Neah</v>
    <v>J13</v>
    <v>1971 - 1980</v>
    <v>J5 Saratoga</v>
    <v>J13</v>
    <v>(n/a)</v>
    <v>0</v>
    <v>J13</v>
  </rv>
  <rv s="2">
    <v>3</v>
    <v>J14 Samish</v>
    <v>1</v>
    <v>Generic</v>
    <v>1974</v>
    <v>J23 Capricorn, J30 Riptide, J37 Hy'Shqa, J40 Suttles, J43 Bellatrix, J45 Se-Yi'-Chn</v>
    <v>2016</v>
    <v>Female</v>
    <v>J2 Granny</v>
    <v>J14</v>
    <v>1974 - 2016</v>
    <v>J12 Sissy</v>
    <v>J14 Samish</v>
    <v>Samish</v>
    <v>6</v>
    <v>J14 Samish</v>
  </rv>
  <rv s="2">
    <v>3</v>
    <v>J15</v>
    <v>1</v>
    <v>Generic</v>
    <v>1976</v>
    <v>none</v>
    <v>1981</v>
    <v>Male</v>
    <v>(unknown)</v>
    <v>J15</v>
    <v>1976 - 1981</v>
    <v>J4 Mama</v>
    <v>J15</v>
    <v>(n/a)</v>
    <v>0</v>
    <v>J15</v>
  </rv>
  <rv s="4">
    <v>3</v>
    <v>J16 Slick</v>
    <v>1</v>
    <v>Generic</v>
    <v>1972</v>
    <v>J26 Mike, J33 Keet, J36 Alki, J42 Echo, J48 Saiph, J50 Scarlet</v>
    <v/>
    <v>Female</v>
    <v>(unknown)</v>
    <v>J16</v>
    <v>1972 - present</v>
    <v>J7 Sucia</v>
    <v>J16 Slick</v>
    <v>Slick</v>
    <v>6</v>
    <v>J16 Slick</v>
  </rv>
  <rv s="2">
    <v>3</v>
    <v>J17 Princess Angeline</v>
    <v>1</v>
    <v>Generic</v>
    <v>1977</v>
    <v>J28 Polaris, J35 Tahlequah, J44 Moby, J53 Kiki</v>
    <v>2019</v>
    <v>Female</v>
    <v>J9 Neah</v>
    <v>J17</v>
    <v>1977 - 2019</v>
    <v>J5 Saratoga</v>
    <v>J17 Princess Angeline</v>
    <v>Princess Angeline</v>
    <v>4</v>
    <v>J17 Princess Angeline</v>
  </rv>
  <rv s="2">
    <v>3</v>
    <v>J18 Everett</v>
    <v>1</v>
    <v>Generic</v>
    <v>1977</v>
    <v>unknown - male orca</v>
    <v>2000</v>
    <v>Male</v>
    <v>J9 Neah</v>
    <v>J18</v>
    <v>1977 - 2000</v>
    <v>J10 Tahoma</v>
    <v>J18 Everett</v>
    <v>Everett</v>
    <v>0</v>
    <v>J18 Everett</v>
  </rv>
  <rv s="4">
    <v>3</v>
    <v>J19 Shachi</v>
    <v>1</v>
    <v>Generic</v>
    <v>1979</v>
    <v>J29 Rigel, J41 Eclipse</v>
    <v/>
    <v>Female</v>
    <v>(unknown)</v>
    <v>J19</v>
    <v>1979 - present</v>
    <v>J4 Mama</v>
    <v>J19 Shachi</v>
    <v>Shachi</v>
    <v>2</v>
    <v>J19 Shachi</v>
  </rv>
  <rv s="2">
    <v>3</v>
    <v>J20 Ewok</v>
    <v>1</v>
    <v>Generic</v>
    <v>1981</v>
    <v>J32 Rhapsody</v>
    <v>1998</v>
    <v>Female</v>
    <v>J9 Neah</v>
    <v>J20</v>
    <v>1981 - 1998</v>
    <v>J10 Tahoma</v>
    <v>J20 Ewok</v>
    <v>Ewok</v>
    <v>1</v>
    <v>J20 Ewok</v>
  </rv>
  <rv s="2">
    <v>3</v>
    <v>J21 E.T.</v>
    <v>1</v>
    <v>Generic</v>
    <v>1982</v>
    <v>none</v>
    <v>1983</v>
    <v>Unknown</v>
    <v>(unknown)</v>
    <v>J21</v>
    <v>1982 - 1983</v>
    <v>J4 Mama</v>
    <v>J21 E.T.</v>
    <v>E.T.</v>
    <v>0</v>
    <v>J21 E.T.</v>
  </rv>
  <rv s="4">
    <v>3</v>
    <v>J22 Oreo</v>
    <v>1</v>
    <v>Generic</v>
    <v>1985</v>
    <v>J34 Doublestuf, J38 Cookie</v>
    <v/>
    <v>Female</v>
    <v>J9 Neah</v>
    <v>J22</v>
    <v>1985 - present</v>
    <v>J10 Tahoma</v>
    <v>J22 Oreo</v>
    <v>Oreo</v>
    <v>2</v>
    <v>J22 Oreo</v>
  </rv>
  <rv s="2">
    <v>3</v>
    <v>J23 Capricorn</v>
    <v>1</v>
    <v>Generic</v>
    <v>1987</v>
    <v>none</v>
    <v>1991</v>
    <v>Male</v>
    <v>J12 Sissy</v>
    <v>J23</v>
    <v>1987 - 1991</v>
    <v>J14 Samish</v>
    <v>J23 Capricorn</v>
    <v>Capricorn</v>
    <v>0</v>
    <v>J23 Capricorn</v>
  </rv>
  <rv s="2">
    <v>3</v>
    <v>J24 Eltanin</v>
    <v>1</v>
    <v>Generic</v>
    <v>1970</v>
    <v>none</v>
    <v>1974</v>
    <v>Male</v>
    <v>J2 Granny</v>
    <v>J24</v>
    <v>1970 - 1974</v>
    <v>J12 Sissy</v>
    <v>J24 Eltanin</v>
    <v>Eltanin</v>
    <v>0</v>
    <v>J24 Eltanin</v>
  </rv>
  <rv s="2">
    <v>3</v>
    <v>J25 Sheekah</v>
    <v>1</v>
    <v>Generic</v>
    <v>1988</v>
    <v>none</v>
    <v>1988</v>
    <v>Unknown</v>
    <v>J4 Mama</v>
    <v>J25</v>
    <v>1988 (infant)</v>
    <v>J11 Blossom</v>
    <v>J25 Sheekah</v>
    <v>Sheekah</v>
    <v>0</v>
    <v>J25 Sheekah</v>
  </rv>
  <rv s="4">
    <v>3</v>
    <v>J26 Mike</v>
    <v>1</v>
    <v>Generic</v>
    <v>1991</v>
    <v>unknown - male orca</v>
    <v/>
    <v>Male</v>
    <v>J7 Sucia</v>
    <v>J26</v>
    <v>1991 - present</v>
    <v>J16 Slick</v>
    <v>J26 Mike</v>
    <v>Mike</v>
    <v>0</v>
    <v>J26 Mike</v>
  </rv>
  <rv s="4">
    <v>3</v>
    <v>J27 Blackberry</v>
    <v>1</v>
    <v>Generic</v>
    <v>1991</v>
    <v>unknown - male orca</v>
    <v/>
    <v>Male</v>
    <v>J4 Mama</v>
    <v>J27</v>
    <v>1991 - present</v>
    <v>J11 Blossom</v>
    <v>J27 Blackberry</v>
    <v>Blackberry</v>
    <v>0</v>
    <v>J27 Blackberry</v>
  </rv>
  <rv s="2">
    <v>3</v>
    <v>J28 Polaris</v>
    <v>1</v>
    <v>Generic</v>
    <v>1992</v>
    <v>J46 Star, J54 Dipper, J28's calf</v>
    <v>2016</v>
    <v>Female</v>
    <v>J5 Saratoga</v>
    <v>J28</v>
    <v>1992 - 2016</v>
    <v>J17 Princess Angeline</v>
    <v>J28 Polaris</v>
    <v>Polaris</v>
    <v>3</v>
    <v>J28 Polaris</v>
  </rv>
  <rv s="2">
    <v>3</v>
    <v>J29 Rigel</v>
    <v>1</v>
    <v>Generic</v>
    <v>1993</v>
    <v>none</v>
    <v>1993</v>
    <v>Male</v>
    <v>J4 Mama</v>
    <v>J29</v>
    <v>1993 (infant)</v>
    <v>J19 Shachi</v>
    <v>J29 Rigel</v>
    <v>Rigel</v>
    <v>0</v>
    <v>J29 Rigel</v>
  </rv>
  <rv s="2">
    <v>3</v>
    <v>J30 Riptide</v>
    <v>1</v>
    <v>Generic</v>
    <v>1995</v>
    <v>unknown - male orca</v>
    <v>2012</v>
    <v>Male</v>
    <v>J12 Sissy</v>
    <v>J30</v>
    <v>1995 - 2012</v>
    <v>J14 Samish</v>
    <v>J30 Riptide</v>
    <v>Riptide</v>
    <v>0</v>
    <v>J30 Riptide</v>
  </rv>
  <rv s="4">
    <v>3</v>
    <v>J31 Tsuchi</v>
    <v>1</v>
    <v>Generic</v>
    <v>1995</v>
    <v>J56 Tofino, J31's calf</v>
    <v/>
    <v>Female</v>
    <v>J4 Mama</v>
    <v>J31</v>
    <v>1995 - present</v>
    <v>J11 Blossom</v>
    <v>J31 Tsuchi</v>
    <v>Tsuchi</v>
    <v>2</v>
    <v>J31 Tsuchi</v>
  </rv>
  <rv s="2">
    <v>3</v>
    <v>J32 Rhapsody</v>
    <v>1</v>
    <v>Generic</v>
    <v>1996</v>
    <v>none</v>
    <v>2014</v>
    <v>Female</v>
    <v>J10 Tahoma</v>
    <v>J32</v>
    <v>1996 - 2014</v>
    <v>J20 Ewok</v>
    <v>J32 Rhapsody</v>
    <v>Rhapsody</v>
    <v>0</v>
    <v>J32 Rhapsody</v>
  </rv>
  <rv s="2">
    <v>3</v>
    <v>J33 Keet</v>
    <v>1</v>
    <v>Generic</v>
    <v>1996</v>
    <v>unknown - male orca</v>
    <v>2010</v>
    <v>Male</v>
    <v>J7 Sucia</v>
    <v>J33</v>
    <v>1996 - 2010</v>
    <v>J16 Slick</v>
    <v>J33 Keet</v>
    <v>Keet</v>
    <v>0</v>
    <v>J33 Keet</v>
  </rv>
  <rv s="2">
    <v>3</v>
    <v>J34 Doublestuf</v>
    <v>1</v>
    <v>Generic</v>
    <v>1998</v>
    <v>unknown - male orca</v>
    <v>2016</v>
    <v>Male</v>
    <v>J10 Tahoma</v>
    <v>J34</v>
    <v>1998 - 2016</v>
    <v>J22 Oreo</v>
    <v>J34 Doublestuf</v>
    <v>Doublestuf</v>
    <v>0</v>
    <v>J34 Doublestuf</v>
  </rv>
  <rv s="4">
    <v>3</v>
    <v>J35 Tahlequah</v>
    <v>1</v>
    <v>Generic</v>
    <v>1998</v>
    <v>J47 Notch, J57 Phoenix, J35's calf</v>
    <v/>
    <v>Female</v>
    <v>J5 Saratoga</v>
    <v>J35</v>
    <v>1998 - present</v>
    <v>J17 Princess Angeline</v>
    <v>J35 Tahlequah</v>
    <v>Tahlequah</v>
    <v>3</v>
    <v>J35 Tahlequah</v>
  </rv>
  <rv s="4">
    <v>3</v>
    <v>J36 Alki</v>
    <v>1</v>
    <v>Generic</v>
    <v>1999</v>
    <v>J52 Sonic</v>
    <v/>
    <v>Female</v>
    <v>J7 Sucia</v>
    <v>J36</v>
    <v>1999 - present</v>
    <v>J16 Slick</v>
    <v>J36 Alki</v>
    <v>Alki</v>
    <v>1</v>
    <v>J36 Alki</v>
  </rv>
  <rv s="4">
    <v>3</v>
    <v>J37 Hy'Shqa</v>
    <v>1</v>
    <v>Generic</v>
    <v>2001</v>
    <v>J49 T'ilem I'nges, J55 Betel</v>
    <v/>
    <v>Female</v>
    <v>J12 Sissy</v>
    <v>J37</v>
    <v>2001 - present</v>
    <v>J14 Samish</v>
    <v>J37 Hy'Shqa</v>
    <v>Hy'Shqa</v>
    <v>2</v>
    <v>J37 Hy'Shqa</v>
  </rv>
  <rv s="4">
    <v>3</v>
    <v>J38 Cookie</v>
    <v>1</v>
    <v>Generic</v>
    <v>2003</v>
    <v>unknown - male orca</v>
    <v/>
    <v>Male</v>
    <v>J10 Tahoma</v>
    <v>J38</v>
    <v>2003 - present</v>
    <v>J22 Oreo</v>
    <v>J38 Cookie</v>
    <v>Cookie</v>
    <v>0</v>
    <v>J38 Cookie</v>
  </rv>
  <rv s="4">
    <v>3</v>
    <v>J39 Mako</v>
    <v>1</v>
    <v>Generic</v>
    <v>2003</v>
    <v>unknown - male orca</v>
    <v/>
    <v>Male</v>
    <v>J4 Mama</v>
    <v>J39</v>
    <v>2003 - present</v>
    <v>J11 Blossom</v>
    <v>J39 Mako</v>
    <v>Mako</v>
    <v>0</v>
    <v>J39 Mako</v>
  </rv>
  <rv s="4">
    <v>3</v>
    <v>J40 Suttles</v>
    <v>1</v>
    <v>Generic</v>
    <v>2004</v>
    <v>none</v>
    <v/>
    <v>Female</v>
    <v>J12 Sissy</v>
    <v>J40</v>
    <v>2004 - present</v>
    <v>J14 Samish</v>
    <v>J40 Suttles</v>
    <v>Suttles</v>
    <v>0</v>
    <v>J40 Suttles</v>
  </rv>
  <rv s="4">
    <v>3</v>
    <v>J41 Eclipse</v>
    <v>1</v>
    <v>Generic</v>
    <v>2005</v>
    <v>J51 Nova, J58 Crescent</v>
    <v/>
    <v>Female</v>
    <v>J4 Mama</v>
    <v>J41</v>
    <v>2005 - present</v>
    <v>J19 Shachi</v>
    <v>J41 Eclipse</v>
    <v>Eclipse</v>
    <v>2</v>
    <v>J41 Eclipse</v>
  </rv>
  <rv s="4">
    <v>3</v>
    <v>J42 Echo</v>
    <v>1</v>
    <v>Generic</v>
    <v>2007</v>
    <v>none</v>
    <v/>
    <v>Female</v>
    <v>J7 Sucia</v>
    <v>J42</v>
    <v>2007 - present</v>
    <v>J16 Slick</v>
    <v>J42 Echo</v>
    <v>Echo</v>
    <v>0</v>
    <v>J42 Echo</v>
  </rv>
  <rv s="2">
    <v>3</v>
    <v>J43 Bellatrix</v>
    <v>1</v>
    <v>Generic</v>
    <v>2008</v>
    <v>none</v>
    <v>2008</v>
    <v>Unknown</v>
    <v>J12 Sissy</v>
    <v>J43</v>
    <v>2008 (infant)</v>
    <v>J14 Samish</v>
    <v>J43 Bellatrix</v>
    <v>Bellatrix</v>
    <v>0</v>
    <v>J43 Bellatrix</v>
  </rv>
  <rv s="4">
    <v>3</v>
    <v>J44 Moby</v>
    <v>1</v>
    <v>Generic</v>
    <v>2009</v>
    <v>unknown - male orca</v>
    <v/>
    <v>Male</v>
    <v>J5 Saratoga</v>
    <v>J44</v>
    <v>2009 - present</v>
    <v>J17 Princess Angeline</v>
    <v>J44 Moby</v>
    <v>Moby</v>
    <v>0</v>
    <v>J44 Moby</v>
  </rv>
  <rv s="4">
    <v>3</v>
    <v>J45 Se-Yi'-Chn</v>
    <v>1</v>
    <v>Generic</v>
    <v>2009</v>
    <v>unknown - male orca</v>
    <v/>
    <v>Male</v>
    <v>J12 Sissy</v>
    <v>J45</v>
    <v>2009 - present</v>
    <v>J14 Samish</v>
    <v>J45 Se-Yi'-Chn</v>
    <v>Se-Yi'-Chn</v>
    <v>0</v>
    <v>J45 Se-Yi'-Chn</v>
  </rv>
  <rv s="4">
    <v>3</v>
    <v>J46 Star</v>
    <v>1</v>
    <v>Generic</v>
    <v>2009</v>
    <v>none</v>
    <v/>
    <v>Female</v>
    <v>J17 Princess Angeline</v>
    <v>J46</v>
    <v>2009 - present</v>
    <v>J28 Polaris</v>
    <v>J46 Star</v>
    <v>Star</v>
    <v>0</v>
    <v>J46 Star</v>
  </rv>
  <rv s="4">
    <v>3</v>
    <v>J47 Notch</v>
    <v>1</v>
    <v>Generic</v>
    <v>2010</v>
    <v>unknown - male orca</v>
    <v/>
    <v>Male</v>
    <v>J17 Princess Angeline</v>
    <v>J47</v>
    <v>2010 - present</v>
    <v>J35 Tahlequah</v>
    <v>J47 Notch</v>
    <v>Notch</v>
    <v>0</v>
    <v>J47 Notch</v>
  </rv>
  <rv s="2">
    <v>3</v>
    <v>J48 Saiph</v>
    <v>1</v>
    <v>Generic</v>
    <v>2011</v>
    <v>none</v>
    <v>2012</v>
    <v>Unknown</v>
    <v>J7 Sucia</v>
    <v>J48</v>
    <v>2011 - 2012</v>
    <v>J16 Slick</v>
    <v>J48 Saiph</v>
    <v>Saiph</v>
    <v>0</v>
    <v>J48 Saiph</v>
  </rv>
  <rv s="4">
    <v>3</v>
    <v>J49 T'ilem I'nges</v>
    <v>1</v>
    <v>Generic</v>
    <v>2012</v>
    <v>unknown - male orca</v>
    <v/>
    <v>Male</v>
    <v>J14 Samish</v>
    <v>J49</v>
    <v>2012 - present</v>
    <v>J37 Hy'Shqa</v>
    <v>J49 T'ilem I'nges</v>
    <v>T'ilem I'nges</v>
    <v>0</v>
    <v>J49 T'ilem I'nges</v>
  </rv>
  <rv s="2">
    <v>3</v>
    <v>J50 Scarlet</v>
    <v>1</v>
    <v>Generic</v>
    <v>2014</v>
    <v>none</v>
    <v>2018</v>
    <v>Female</v>
    <v>J7 Sucia</v>
    <v>J50</v>
    <v>2014 - 2018</v>
    <v>J16 Slick</v>
    <v>J50 Scarlet</v>
    <v>Scarlet</v>
    <v>0</v>
    <v>J50 Scarlet</v>
  </rv>
  <rv s="4">
    <v>3</v>
    <v>J51 Nova</v>
    <v>1</v>
    <v>Generic</v>
    <v>2015</v>
    <v>none</v>
    <v/>
    <v>Male</v>
    <v>J19 Shachi</v>
    <v>J51</v>
    <v>2015 - present</v>
    <v>J41 Eclipse</v>
    <v>J51 Nova</v>
    <v>Nova</v>
    <v>0</v>
    <v>J51 Nova</v>
  </rv>
  <rv s="2">
    <v>3</v>
    <v>J52 Sonic</v>
    <v>1</v>
    <v>Generic</v>
    <v>2015</v>
    <v>none</v>
    <v>2017</v>
    <v>Male</v>
    <v>J16 Slick</v>
    <v>J52</v>
    <v>2015 - 2017</v>
    <v>J36 Alki</v>
    <v>J52 Sonic</v>
    <v>Sonic</v>
    <v>0</v>
    <v>J52 Sonic</v>
  </rv>
  <rv s="4">
    <v>3</v>
    <v>J53 Kiki</v>
    <v>1</v>
    <v>Generic</v>
    <v>2015</v>
    <v>none</v>
    <v/>
    <v>Female</v>
    <v>J5 Saratoga</v>
    <v>J53</v>
    <v>2015 - present</v>
    <v>J17 Princess Angeline</v>
    <v>J53 Kiki</v>
    <v>Kiki</v>
    <v>0</v>
    <v>J53 Kiki</v>
  </rv>
  <rv s="2">
    <v>3</v>
    <v>J54 Dipper</v>
    <v>1</v>
    <v>Generic</v>
    <v>2015</v>
    <v>none</v>
    <v>2016</v>
    <v>Male</v>
    <v>J17 Princess Angeline</v>
    <v>J54</v>
    <v>2015 - 2016</v>
    <v>J28 Polaris</v>
    <v>J54 Dipper</v>
    <v>Dipper</v>
    <v>0</v>
    <v>J54 Dipper</v>
  </rv>
  <rv s="2">
    <v>3</v>
    <v>J55 Betel</v>
    <v>1</v>
    <v>Generic</v>
    <v>2016</v>
    <v>none</v>
    <v>2016</v>
    <v>Unknown</v>
    <v>J14 Samish</v>
    <v>J55</v>
    <v>2016 (infant)</v>
    <v>J37 Hy'Shqa</v>
    <v>J55 Betel</v>
    <v>Betel</v>
    <v>0</v>
    <v>J55 Betel</v>
  </rv>
  <rv s="4">
    <v>3</v>
    <v>J56 Tofino</v>
    <v>1</v>
    <v>Generic</v>
    <v>2019</v>
    <v>none</v>
    <v/>
    <v>Female</v>
    <v>J11 Blossom</v>
    <v>J56</v>
    <v>2019 - present</v>
    <v>J31 Tsuchi</v>
    <v>J56 Tofino</v>
    <v>Tofino</v>
    <v>0</v>
    <v>J56 Tofino</v>
  </rv>
  <rv s="4">
    <v>3</v>
    <v>J57 Phoenix</v>
    <v>1</v>
    <v>Generic</v>
    <v>2020</v>
    <v>none</v>
    <v/>
    <v>Male</v>
    <v>J17 Princess Angeline</v>
    <v>J57</v>
    <v>2020 - present</v>
    <v>J35 Tahlequah</v>
    <v>J57 Phoenix</v>
    <v>Phoenix</v>
    <v>0</v>
    <v>J57 Phoenix</v>
  </rv>
  <rv s="4">
    <v>3</v>
    <v>J58 Crescent</v>
    <v>1</v>
    <v>Generic</v>
    <v>2020</v>
    <v>none</v>
    <v/>
    <v>Unknown</v>
    <v>J19 Shachi</v>
    <v>J58</v>
    <v>2020 - present</v>
    <v>J41 Eclipse</v>
    <v>J58 Crescent</v>
    <v>Crescent</v>
    <v>0</v>
    <v>J58 Crescent</v>
  </rv>
  <rv s="2">
    <v>3</v>
    <v>J11's calf</v>
    <v>1</v>
    <v>Generic</v>
    <v>1998</v>
    <v>none</v>
    <v>1998</v>
    <v>Unknown</v>
    <v>J4 Mama</v>
    <v>(n/a)</v>
    <v>1998 (infant)</v>
    <v>J11 Blossom</v>
    <v>J11's calf</v>
    <v>(n/a)</v>
    <v>0</v>
    <v>J11's calf</v>
  </rv>
  <rv s="2">
    <v>3</v>
    <v>J28's calf</v>
    <v>1</v>
    <v>Generic</v>
    <v>2013</v>
    <v>none</v>
    <v>2013</v>
    <v>Unknown</v>
    <v>J17 Princess Angeline</v>
    <v>(n/a)</v>
    <v>2013 (infant)</v>
    <v>J28 Polaris</v>
    <v>J28's calf</v>
    <v>Alnitak</v>
    <v>0</v>
    <v>J28's calf</v>
  </rv>
  <rv s="2">
    <v>3</v>
    <v>J31's calf</v>
    <v>1</v>
    <v>Generic</v>
    <v>2016</v>
    <v>none</v>
    <v>2016</v>
    <v>Unknown</v>
    <v>J11 Blossom</v>
    <v>(n/a)</v>
    <v>2016 (infant)</v>
    <v>J31 Tsuchi</v>
    <v>J31's calf</v>
    <v>(n/a)</v>
    <v>0</v>
    <v>J31's calf</v>
  </rv>
  <rv s="2">
    <v>3</v>
    <v>J35's calf</v>
    <v>1</v>
    <v>Generic</v>
    <v>2018</v>
    <v>none</v>
    <v>2018</v>
    <v>Unknown</v>
    <v>J17 Princess Angeline</v>
    <v>(n/a)</v>
    <v>2018 (infant)</v>
    <v>J35 Tahlequah</v>
    <v>J35's calf</v>
    <v>(n/a)</v>
    <v>0</v>
    <v>J35's calf</v>
  </rv>
  <rv s="5">
    <v>5</v>
    <v>Orcas Island</v>
    <v>1</v>
    <v>Generic</v>
    <v>San Juan County, Washington, United States</v>
    <v>48.645659999999999</v>
    <v>-122.96574</v>
    <v>Orcas Island</v>
    <v>5387</v>
    <v>Orcas Island</v>
  </rv>
  <rv s="5">
    <v>5</v>
    <v>San Juan Island</v>
    <v>1</v>
    <v>Generic</v>
    <v>San Juan County, Washington, United States</v>
    <v>48.533332999999999</v>
    <v>-123.083333</v>
    <v>San Juan Island</v>
    <v>6822</v>
    <v>San Juan Island</v>
  </rv>
  <rv s="5">
    <v>5</v>
    <v>Pender Island</v>
    <v>1</v>
    <v>Generic</v>
    <v>Capital, British Columbia, Canada</v>
    <v>48.780250000000002</v>
    <v>-123.28322</v>
    <v>Pender Island</v>
    <v>2245</v>
    <v>Pender Island</v>
  </rv>
  <rv s="5">
    <v>5</v>
    <v>Saturna Island</v>
    <v>1</v>
    <v>Generic</v>
    <v>Capital, British Columbia, Canada</v>
    <v>48.783332999999999</v>
    <v>-123.15</v>
    <v>Saturna Island</v>
    <v>350</v>
    <v>Saturna Island</v>
  </rv>
  <rv s="5">
    <v>5</v>
    <v>Lopez Island</v>
    <v>1</v>
    <v>Generic</v>
    <v>Washington, United States</v>
    <v>48.478889000000002</v>
    <v>-122.891944</v>
    <v>Lopez Island</v>
    <v>2177</v>
    <v>Lopez Island</v>
  </rv>
  <rv s="5">
    <v>5</v>
    <v>Whidbey Island</v>
    <v>1</v>
    <v>Generic</v>
    <v>Island County, Washington, United States</v>
    <v>48.136389000000001</v>
    <v>-122.5825</v>
    <v>Whidbey Island</v>
    <v>58211</v>
    <v>Whidbey Island</v>
  </rv>
  <rv s="5">
    <v>5</v>
    <v>Vashon Island</v>
    <v>1</v>
    <v>Generic</v>
    <v>Washington, United States</v>
    <v>47.416111000000001</v>
    <v>-122.468333</v>
    <v>Vashon Island</v>
    <v>10624</v>
    <v>Vashon Island</v>
  </rv>
  <rv s="5">
    <v>5</v>
    <v>Camano Island</v>
    <v>1</v>
    <v>Generic</v>
    <v>Island County, Washington, United States</v>
    <v>48.182333</v>
    <v>-122.50444400000001</v>
    <v>Camano Island</v>
    <v>13358</v>
    <v>Camano Island</v>
  </rv>
  <rv s="6">
    <fb>5387</fb>
    <v>6</v>
  </rv>
  <rv s="6">
    <fb>48.645659999999999</fb>
    <v>7</v>
  </rv>
  <rv s="6">
    <fb>-122.96574</fb>
    <v>8</v>
  </rv>
  <rv s="6">
    <fb>6822</fb>
    <v>6</v>
  </rv>
  <rv s="6">
    <fb>48.533332999999999</fb>
    <v>7</v>
  </rv>
  <rv s="6">
    <fb>-123.083333</fb>
    <v>8</v>
  </rv>
  <rv s="6">
    <fb>2245</fb>
    <v>6</v>
  </rv>
  <rv s="6">
    <fb>48.780250000000002</fb>
    <v>7</v>
  </rv>
  <rv s="6">
    <fb>-123.28322</fb>
    <v>8</v>
  </rv>
  <rv s="6">
    <fb>350</fb>
    <v>6</v>
  </rv>
  <rv s="6">
    <fb>48.783332999999999</fb>
    <v>7</v>
  </rv>
  <rv s="6">
    <fb>-123.15</fb>
    <v>8</v>
  </rv>
  <rv s="6">
    <fb>2177</fb>
    <v>6</v>
  </rv>
  <rv s="6">
    <fb>48.478889000000002</fb>
    <v>7</v>
  </rv>
  <rv s="6">
    <fb>-122.891944</fb>
    <v>8</v>
  </rv>
  <rv s="6">
    <fb>58211</fb>
    <v>6</v>
  </rv>
  <rv s="6">
    <fb>48.136389000000001</fb>
    <v>7</v>
  </rv>
  <rv s="6">
    <fb>-122.5825</fb>
    <v>8</v>
  </rv>
  <rv s="6">
    <fb>10624</fb>
    <v>6</v>
  </rv>
  <rv s="6">
    <fb>47.416111000000001</fb>
    <v>7</v>
  </rv>
  <rv s="6">
    <fb>-122.468333</fb>
    <v>8</v>
  </rv>
  <rv s="6">
    <fb>13358</fb>
    <v>6</v>
  </rv>
  <rv s="6">
    <fb>48.182333</fb>
    <v>7</v>
  </rv>
  <rv s="6">
    <fb>-122.50444400000001</fb>
    <v>8</v>
  </rv>
  <rv s="7">
    <v>9</v>
    <v>killer whale</v>
    <v>1</v>
    <v>Generic</v>
    <v>mammals</v>
    <v>killer whale</v>
    <v>dolphins, killer whales and pilot whales</v>
    <v>orca</v>
    <v>animals</v>
    <v>whales, dolphins and porpoises</v>
    <v>chordates</v>
    <v>Orcinus orca</v>
    <v>killer whale</v>
    <v>killer whale</v>
    <v>The killer whale (Orcinus orca), also known as the orca, is a toothed whale belonging to the oceanic dolphin family, of which it is the largest member.</v>
  </rv>
  <rv s="7">
    <v>9</v>
    <v>human</v>
    <v>1</v>
    <v>Generic</v>
    <v>mammals</v>
    <v>human</v>
    <v>humans, chimpanzees, gorillas and orangutans</v>
    <v>humans</v>
    <v>animals</v>
    <v>primates</v>
    <v>chordates</v>
    <v>Homo sapiens</v>
    <v>human</v>
    <v>human</v>
    <v>Humans (Homo sapiens) are highly intelligent primates that have become the dominant species on Earth.</v>
  </rv>
  <rv s="7">
    <v>9</v>
    <v>pacific white-sided dolphin</v>
    <v>1</v>
    <v>Generic</v>
    <v>mammals</v>
    <v>pacific white-sided dolphin</v>
    <v>dolphins, killer whales and pilot whales</v>
    <v>Lagenorhynchus</v>
    <v>animals</v>
    <v>whales, dolphins and porpoises</v>
    <v>chordates</v>
    <v>Lagenorhynchus obliquidens</v>
    <v>pacific white-sided dolphin</v>
    <v>pacific white-sided dolphin</v>
    <v>The Pacific white–sided dolphin (Lagenorhynchus obliquidens) is a very active dolphin found in the cool to temperate waters of the North Pacific Ocean.</v>
  </rv>
  <rv s="7">
    <v>9</v>
    <v>humpback whale</v>
    <v>1</v>
    <v>Generic</v>
    <v>mammals</v>
    <v>humpback whale</v>
    <v>rorqual whales</v>
    <v>humpback whale</v>
    <v>animals</v>
    <v>whales, dolphins and porpoises</v>
    <v>chordates</v>
    <v>Megaptera novaeangliae</v>
    <v>humpback whale</v>
    <v>humpback whale</v>
    <v>The humpback whale (Megaptera novaeangliae) is a species of baleen whale. It is one of the larger rorqual species, with adults ranging in length from 12–16 m (39–52 ft) and weighing around 25–30 t (28–33 short tons).</v>
  </rv>
  <rv s="7">
    <v>9</v>
    <v>harbor seal</v>
    <v>1</v>
    <v>Generic</v>
    <v>mammals</v>
    <v>harbor seal</v>
    <v>earless seals</v>
    <v>Phoca</v>
    <v>animals</v>
    <v>carnivores</v>
    <v>chordates</v>
    <v>Phoca vitulina</v>
    <v>harbor seal</v>
    <v>harbor seal</v>
    <v>The harbor (or harbour) seal (Phoca vitulina), also known as the common seal, is a true seal found along temperate and Arctic marine coastlines of the Northern Hemisphere.</v>
  </rv>
  <rv s="7">
    <v>9</v>
    <v>Chinook salmon</v>
    <v>1</v>
    <v>Generic</v>
    <v>ray-finned fishes</v>
    <v>Chinook salmon</v>
    <v>salmonids</v>
    <v>Oncorhynchus</v>
    <v>animals</v>
    <v>salmons</v>
    <v>chordates</v>
    <v>Oncorhynchus tshawytscha</v>
    <v>Chinook salmon</v>
    <v>Chinook salmon</v>
    <v>The Chinook salmon (Oncorhynchus tshawytscha) is the largest species of Pacific salmon as well as the largest in the genus Oncorhynchus. Its common name is derived from the Chinookan peoples.</v>
  </rv>
  <rv s="7">
    <v>9</v>
    <v>dungeness crab</v>
    <v>1</v>
    <v>Generic</v>
    <v>woodlice, shrimps, lobsters and crabs</v>
    <v>dungeness crab</v>
    <v>rock crabs</v>
    <v>Cancer</v>
    <v>animals</v>
    <v>shrimps, lobsters, crabs and hermit crabs</v>
    <v>arthropods</v>
    <v>Cancer magister</v>
    <v>dungeness crab</v>
    <v>dungeness crab</v>
    <v>‎The Dungeness crab, Metacarcinus magister (the naming convention recognised by WoRMS) or Cancer magister (the naming convention recognised by ITIS), is a species of crab that inhabits eelgrass beds and water bottoms on the west coast of North America.</v>
  </rv>
  <rv s="7">
    <v>9</v>
    <v>osprey</v>
    <v>1</v>
    <v>Generic</v>
    <v>birds</v>
    <v>osprey</v>
    <v>Accipitridae</v>
    <v>Pandion</v>
    <v>animals</v>
    <v>herons and storks</v>
    <v>chordates</v>
    <v>Pandion haliaetus</v>
    <v>osprey</v>
    <v>osprey</v>
    <v>The osprey or more specifically the western osprey (Pandion haliaetus) — also called sea hawk, river hawk, and fish hawk — is a diurnal, fish–eating bird of prey with a cosmopolitan range.</v>
  </rv>
  <rv s="7">
    <v>9</v>
    <v>northern river otter</v>
    <v>1</v>
    <v>Generic</v>
    <v>mammals</v>
    <v>northern river otter</v>
    <v>badgers, otters and weasels</v>
    <v>Lontra</v>
    <v>animals</v>
    <v>carnivores</v>
    <v>chordates</v>
    <v>Lontra canadensis</v>
    <v>northern river otter</v>
    <v>northern river otter</v>
    <v>The North American river otter (Lontra canadensis), also known as the northern river otter or common otter, is a semiaquatic mammal endemic to the North American continent found in and along its waterways and coasts.</v>
  </rv>
  <rv s="7">
    <v>9</v>
    <v>dog</v>
    <v>1</v>
    <v>Generic</v>
    <v>mammals</v>
    <v>dog</v>
    <v>coyotes, dogs, foxes, jackals and wolves</v>
    <v>Canis</v>
    <v>animals</v>
    <v>carnivores</v>
    <v>chordates</v>
    <v>Canis lupus familiaris</v>
    <v>gray wolf</v>
    <v>dog</v>
    <v>The dog (Canis familiaris when considered a distinct species or Canis lupus familiaris when considered a subspecies of the wolf) is a domesticated carnivore of the family Canidae.</v>
  </rv>
  <rv s="7">
    <v>9</v>
    <v>domestic cat</v>
    <v>1</v>
    <v>Generic</v>
    <v>mammals</v>
    <v>domestic cat</v>
    <v>cats</v>
    <v>Felis</v>
    <v>animals</v>
    <v>carnivores</v>
    <v>chordates</v>
    <v>Felis catus</v>
    <v>domestic cat</v>
    <v>domestic cat</v>
    <v>The cat (Felis catus) is a domestic species of small carnivorous mammal. It is the only domesticated species in the family Felidae and is often referred to as the domestic cat to distinguish it from the wild members of the family.</v>
  </rv>
  <rv s="7">
    <v>9</v>
    <v>Eelgrass</v>
    <v>1</v>
    <v>Generic</v>
    <v>monocots</v>
    <v>Eelgrass</v>
    <v>zosteracaeae</v>
    <v>eelgrass</v>
    <v>plants</v>
    <v>najadales</v>
    <v>tracheophytes</v>
    <v>zostera marina</v>
    <v>seawrack</v>
    <v>Eelgrass</v>
    <v xml:space="preserve">Zostera marina is a flowering vascular plant species as one of many kinds of seagrass, with this species known primarily by the English name of eelgrass with seawrack much less used, and refers to the plant after breaking loose from the submerged wetland soil, and drifting free with ocean current and waves to a coast seashore. </v>
  </rv>
</rvData>
</file>

<file path=xl/richData/rdrichvaluestructure.xml><?xml version="1.0" encoding="utf-8"?>
<rvStructures xmlns="http://schemas.microsoft.com/office/spreadsheetml/2017/richdata" count="8">
  <s t="_entity">
    <k n="_Display" t="spb"/>
    <k n="_DisplayString" t="s"/>
    <k n="_Format" t="spb"/>
    <k n="_Icon" t="s"/>
    <k n="Class" t="s"/>
    <k n="Common name" t="s"/>
    <k n="Family" t="s"/>
    <k n="Genus" t="s"/>
    <k n="Kingdom" t="s"/>
    <k n="Order" t="s"/>
    <k n="Phylum" t="s"/>
    <k n="Scientific name" t="s"/>
    <k n="Species" t="s"/>
    <k n="Title" t="s"/>
    <k n="Wikipedia summary text" t="s"/>
  </s>
  <s t="_entity">
    <k n="_Display" t="spb"/>
    <k n="_DisplayString" t="s"/>
    <k n="_Format" t="spb"/>
    <k n="_Icon" t="s"/>
    <k n="Common Name" t="s"/>
    <k n="parent taxon" t="s"/>
    <k n="scientific name" t="s"/>
    <k n="taxonomic level" t="s"/>
    <k n="Title" t="s"/>
    <k n="wikipedia summary text" t="s"/>
  </s>
  <s t="_entity">
    <k n="_Display" t="spb"/>
    <k n="_DisplayString" t="s"/>
    <k n="_Format" t="spb"/>
    <k n="_Icon" t="s"/>
    <k n="Birth year"/>
    <k n="Calves" t="s"/>
    <k n="Death year"/>
    <k n="Gender" t="s"/>
    <k n="Grandmother" t="s"/>
    <k n="Identification" t="s"/>
    <k n="Life" t="s"/>
    <k n="Mother" t="s"/>
    <k n="Name" t="s"/>
    <k n="Nickname" t="s"/>
    <k n="Number of children"/>
    <k n="Title" t="s"/>
  </s>
  <s t="_entity">
    <k n="_Display" t="spb"/>
    <k n="_DisplayString" t="s"/>
    <k n="_Format" t="spb"/>
    <k n="_Icon" t="s"/>
    <k n="Birth year"/>
    <k n="Calves" t="s"/>
    <k n="Death Year"/>
    <k n="Gender" t="s"/>
    <k n="Grandmother" t="s"/>
    <k n="Identification" t="s"/>
    <k n="Life" t="s"/>
    <k n="Mother" t="s"/>
    <k n="Name" t="s"/>
    <k n="Nickname" t="s"/>
    <k n="Number of children"/>
    <k n="Title" t="s"/>
  </s>
  <s t="_entity">
    <k n="_Display" t="spb"/>
    <k n="_DisplayString" t="s"/>
    <k n="_Format" t="spb"/>
    <k n="_Icon" t="s"/>
    <k n="Birth year"/>
    <k n="Calves" t="s"/>
    <k n="Death year" t="s"/>
    <k n="Gender" t="s"/>
    <k n="Grandmother" t="s"/>
    <k n="Identification" t="s"/>
    <k n="Life" t="s"/>
    <k n="Mother" t="s"/>
    <k n="Name" t="s"/>
    <k n="Nickname" t="s"/>
    <k n="Number of children"/>
    <k n="Title" t="s"/>
  </s>
  <s t="_entity">
    <k n="_Display" t="spb"/>
    <k n="_DisplayString" t="s"/>
    <k n="_Format" t="spb"/>
    <k n="_Icon" t="s"/>
    <k n="administrative region" t="s"/>
    <k n="latitude"/>
    <k n="longitude"/>
    <k n="Orca sighting locations" t="s"/>
    <k n="population"/>
    <k n="Title" t="s"/>
  </s>
  <s t="_formattednumber">
    <k n="_Format" t="spb"/>
  </s>
  <s t="_entity">
    <k n="_Display" t="spb"/>
    <k n="_DisplayString" t="s"/>
    <k n="_Format" t="spb"/>
    <k n="_Icon" t="s"/>
    <k n="class" t="s"/>
    <k n="Common Name" t="s"/>
    <k n="family" t="s"/>
    <k n="genus" t="s"/>
    <k n="kingdom" t="s"/>
    <k n="order" t="s"/>
    <k n="phylum" t="s"/>
    <k n="scientific name" t="s"/>
    <k n="species" t="s"/>
    <k n="Title" t="s"/>
    <k n="wikipedia summary text" t="s"/>
  </s>
</rvStructures>
</file>

<file path=xl/richData/rdsupportingpropertybag.xml><?xml version="1.0" encoding="utf-8"?>
<supportingPropertyBags xmlns="http://schemas.microsoft.com/office/spreadsheetml/2017/richdata2">
  <spbArrays count="6">
    <a count="15">
      <v t="s">_Icon</v>
      <v t="s">_DisplayString</v>
      <v t="s">_Display</v>
      <v t="s">Title</v>
      <v t="s">_Format</v>
      <v t="s">Common name</v>
      <v t="s">Kingdom</v>
      <v t="s">Phylum</v>
      <v t="s">Class</v>
      <v t="s">Order</v>
      <v t="s">Family</v>
      <v t="s">Genus</v>
      <v t="s">Species</v>
      <v t="s">Scientific name</v>
      <v t="s">Wikipedia summary text</v>
    </a>
    <a count="10">
      <v t="s">_Icon</v>
      <v t="s">_DisplayString</v>
      <v t="s">_Display</v>
      <v t="s">Title</v>
      <v t="s">_Format</v>
      <v t="s">Common Name</v>
      <v t="s">scientific name</v>
      <v t="s">wikipedia summary text</v>
      <v t="s">taxonomic level</v>
      <v t="s">parent taxon</v>
    </a>
    <a count="16">
      <v t="s">_Icon</v>
      <v t="s">_DisplayString</v>
      <v t="s">_Display</v>
      <v t="s">Title</v>
      <v t="s">_Format</v>
      <v t="s">Name</v>
      <v t="s">Gender</v>
      <v t="s">Mother</v>
      <v t="s">Grandmother</v>
      <v t="s">Identification</v>
      <v t="s">Nickname</v>
      <v t="s">Birth year</v>
      <v t="s">Death year</v>
      <v t="s">Life</v>
      <v t="s">Number of children</v>
      <v t="s">Calves</v>
    </a>
    <a count="16">
      <v t="s">_Icon</v>
      <v t="s">_DisplayString</v>
      <v t="s">_Display</v>
      <v t="s">Title</v>
      <v t="s">_Format</v>
      <v t="s">Name</v>
      <v t="s">Gender</v>
      <v t="s">Mother</v>
      <v t="s">Grandmother</v>
      <v t="s">Identification</v>
      <v t="s">Nickname</v>
      <v t="s">Birth year</v>
      <v t="s">Death Year</v>
      <v t="s">Life</v>
      <v t="s">Number of children</v>
      <v t="s">Calves</v>
    </a>
    <a count="10">
      <v t="s">_Icon</v>
      <v t="s">_DisplayString</v>
      <v t="s">_Display</v>
      <v t="s">Title</v>
      <v t="s">_Format</v>
      <v t="s">Orca sighting locations</v>
      <v t="s">administrative region</v>
      <v t="s">population</v>
      <v t="s">latitude</v>
      <v t="s">longitude</v>
    </a>
    <a count="15">
      <v t="s">_Icon</v>
      <v t="s">_DisplayString</v>
      <v t="s">_Display</v>
      <v t="s">Title</v>
      <v t="s">_Format</v>
      <v t="s">Common Name</v>
      <v t="s">kingdom</v>
      <v t="s">phylum</v>
      <v t="s">class</v>
      <v t="s">order</v>
      <v t="s">family</v>
      <v t="s">genus</v>
      <v t="s">species</v>
      <v t="s">scientific name</v>
      <v t="s">wikipedia summary text</v>
    </a>
  </spbArrays>
  <spbData count="10">
    <spb s="0">
      <v>0</v>
      <v>Title</v>
    </spb>
    <spb s="1">
      <v>1</v>
    </spb>
    <spb s="0">
      <v>1</v>
      <v>Title</v>
    </spb>
    <spb s="0">
      <v>2</v>
      <v>Title</v>
    </spb>
    <spb s="0">
      <v>3</v>
      <v>Title</v>
    </spb>
    <spb s="0">
      <v>4</v>
      <v>Title</v>
    </spb>
    <spb s="2">
      <v>2</v>
    </spb>
    <spb s="2">
      <v>3</v>
    </spb>
    <spb s="2">
      <v>4</v>
    </spb>
    <spb s="0">
      <v>5</v>
      <v>Title</v>
    </spb>
  </spbData>
</supportingPropertyBags>
</file>

<file path=xl/richData/rdsupportingpropertybagstructure.xml><?xml version="1.0" encoding="utf-8"?>
<spbStructures xmlns="http://schemas.microsoft.com/office/spreadsheetml/2017/richdata2" count="3">
  <s>
    <k n="^Order" t="spba"/>
    <k n="TitleProperty" t="s"/>
  </s>
  <s>
    <k n="Title" t="i"/>
  </s>
  <s>
    <k n="_Self" t="i"/>
  </s>
</spbStructures>
</file>

<file path=xl/richData/richStyles.xml><?xml version="1.0" encoding="utf-8"?>
<richStyleSheet xmlns="http://schemas.microsoft.com/office/spreadsheetml/2017/richdata2" xmlns:mc="http://schemas.openxmlformats.org/markup-compatibility/2006" xmlns:x="http://schemas.openxmlformats.org/spreadsheetml/2006/main" mc:Ignorable="x">
  <dxfs count="3">
    <x:dxf>
      <x:numFmt numFmtId="3" formatCode="#,##0"/>
    </x:dxf>
    <x:dxf>
      <x:numFmt numFmtId="165" formatCode="#,##0.0000"/>
    </x:dxf>
    <x:dxf>
      <x:numFmt numFmtId="164" formatCode="#,##0.000"/>
    </x:dxf>
  </dxfs>
  <richProperties>
    <rPr n="IsTitleField" t="b"/>
  </richProperties>
  <richStyles>
    <rSty>
      <rpv i="0">1</rpv>
    </rSty>
    <rSty dxfid="0"/>
    <rSty dxfid="1"/>
    <rSty dxfid="2"/>
  </richStyles>
</richStyleSheet>
</file>

<file path=xl/tables/_rels/table1.xml.rels><?xml version="1.0" encoding="UTF-8" standalone="yes"?>
<Relationships xmlns="http://schemas.openxmlformats.org/package/2006/relationships"><Relationship Id="rId1" Type="http://schemas.openxmlformats.org/officeDocument/2006/relationships/queryTable" Target="../queryTables/queryTable1.xml"/></Relationships>
</file>

<file path=xl/tables/_rels/table2.xml.rels><?xml version="1.0" encoding="UTF-8" standalone="yes"?>
<Relationships xmlns="http://schemas.openxmlformats.org/package/2006/relationships"><Relationship Id="rId1" Type="http://schemas.openxmlformats.org/officeDocument/2006/relationships/queryTable" Target="../queryTables/queryTable2.xml"/></Relationships>
</file>

<file path=xl/tables/_rels/table3.xml.rels><?xml version="1.0" encoding="UTF-8" standalone="yes"?>
<Relationships xmlns="http://schemas.openxmlformats.org/package/2006/relationships"><Relationship Id="rId1" Type="http://schemas.openxmlformats.org/officeDocument/2006/relationships/queryTable" Target="../queryTables/queryTable3.xml"/></Relationships>
</file>

<file path=xl/tables/_rels/table4.xml.rels><?xml version="1.0" encoding="UTF-8" standalone="yes"?>
<Relationships xmlns="http://schemas.openxmlformats.org/package/2006/relationships"><Relationship Id="rId1" Type="http://schemas.openxmlformats.org/officeDocument/2006/relationships/queryTable" Target="../queryTables/queryTable4.xml"/></Relationships>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3" xr:uid="{844D6F6E-BACC-4992-9F5E-F4E35B35D9D6}" name="Animals" displayName="Animals" ref="A1:A13" tableType="queryTable" totalsRowShown="0">
  <autoFilter ref="A1:A13" xr:uid="{844D6F6E-BACC-4992-9F5E-F4E35B35D9D6}"/>
  <tableColumns count="1">
    <tableColumn id="1" xr3:uid="{2D7CBED1-6E29-48C7-ADA0-24C28A71D66B}" uniqueName="1" name="Animals" queryTableFieldId="1"/>
  </tableColumns>
  <tableStyleInfo name="TableStyleMedium7"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2" xr:uid="{15774CA2-36F8-4830-BCB7-54E4B7923BF3}" name="Taxonomy" displayName="Taxonomy" ref="A1:A47" tableType="queryTable" totalsRowShown="0">
  <autoFilter ref="A1:A47" xr:uid="{15774CA2-36F8-4830-BCB7-54E4B7923BF3}"/>
  <tableColumns count="1">
    <tableColumn id="1" xr3:uid="{CBB3E20A-D4D6-4711-953D-236C922C307F}" uniqueName="1" name="Taxonomoy" queryTableFieldId="1"/>
  </tableColumns>
  <tableStyleInfo name="TableStyleMedium7" showFirstColumn="0" showLastColumn="0" showRowStripes="1" showColumnStripes="0"/>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 xr:uid="{AA4D43A8-4CD2-427D-ACED-D0BC0512B6E8}" name="JPod" displayName="JPod" ref="A1:A63" tableType="queryTable" totalsRowShown="0">
  <autoFilter ref="A1:A63" xr:uid="{3C43A513-235D-4AF1-9D4A-A68B8CC607CD}"/>
  <tableColumns count="1">
    <tableColumn id="1" xr3:uid="{938712E5-DE63-4220-A2D7-12493083D577}" uniqueName="1" name="J Pod Orcas" queryTableFieldId="4"/>
  </tableColumns>
  <tableStyleInfo name="TableStyleMedium7" showFirstColumn="0" showLastColumn="0" showRowStripes="1" showColumnStripes="0"/>
</table>
</file>

<file path=xl/tables/table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4" xr:uid="{558E0B0D-5010-4ABB-B308-FBCECE6331CE}" name="Locations" displayName="Locations" ref="A1:A9" tableType="queryTable" totalsRowShown="0">
  <autoFilter ref="A1:A9" xr:uid="{558E0B0D-5010-4ABB-B308-FBCECE6331CE}"/>
  <tableColumns count="1">
    <tableColumn id="1" xr3:uid="{4CF4F1B8-EC8E-4595-A7DD-540E4353727A}" uniqueName="1" name="Locations" queryTableFieldId="1"/>
  </tableColumns>
  <tableStyleInfo name="TableStyleMedium7" showFirstColumn="0" showLastColumn="0" showRowStripes="1" showColumnStripes="0"/>
</table>
</file>

<file path=xl/tables/table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1" xr:uid="{A110CFF5-FDEE-4023-857C-D6C4A460A121}" name="Tbl_Locations" displayName="Tbl_Locations" ref="A1:E9" totalsRowShown="0" headerRowDxfId="45" dataDxfId="44" headerRowBorderDxfId="42" tableBorderDxfId="43" totalsRowBorderDxfId="41">
  <autoFilter ref="A1:E9" xr:uid="{A110CFF5-FDEE-4023-857C-D6C4A460A121}"/>
  <tableColumns count="5">
    <tableColumn id="1" xr3:uid="{E43586AB-4D76-4B5F-83E9-4A08677862A0}" name="Orca sighting locations" dataDxfId="40"/>
    <tableColumn id="8" xr3:uid="{F64A1255-D9FB-422A-A846-823432F1B44C}" name="administrative region" dataDxfId="39"/>
    <tableColumn id="4" xr3:uid="{00119A7F-4793-4F3B-A977-038B0C9EA8E2}" name="population" dataDxfId="38"/>
    <tableColumn id="2" xr3:uid="{D52BAB3A-E547-4D5C-9ADD-862DD8211C3F}" name="latitude" dataDxfId="37"/>
    <tableColumn id="3" xr3:uid="{F1237601-96C1-4358-B1B4-6EF56A64B06E}" name="longitude" dataDxfId="36"/>
  </tableColumns>
  <tableStyleInfo name="TableStyleMedium2" showFirstColumn="0" showLastColumn="0" showRowStripes="1" showColumnStripes="0"/>
</table>
</file>

<file path=xl/tables/table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 xr:uid="{5119A4D7-4109-4181-BA12-47296776F6BA}" name="Tbl_Animals" displayName="Tbl_Animals" ref="A1:J13" totalsRowShown="0">
  <autoFilter ref="A1:J13" xr:uid="{5119A4D7-4109-4181-BA12-47296776F6BA}"/>
  <tableColumns count="10">
    <tableColumn id="1" xr3:uid="{67273171-3AEC-422A-B735-F13081F17930}" name="Common name"/>
    <tableColumn id="2" xr3:uid="{5A9BDE4F-3F2F-4472-B011-AACEBC82F984}" name="Kingdom"/>
    <tableColumn id="3" xr3:uid="{9B02CFCD-44A1-402D-A55C-40366FA3C8DB}" name="Phylum"/>
    <tableColumn id="4" xr3:uid="{8384B318-6F25-4A3D-9D34-EF6E54D1E25C}" name="Class"/>
    <tableColumn id="5" xr3:uid="{DFC9FC6E-C240-4B3D-ACA0-5CEEE8EB285A}" name="Order"/>
    <tableColumn id="6" xr3:uid="{A5449862-E6AF-4F90-AE09-C97C370121C2}" name="Family"/>
    <tableColumn id="7" xr3:uid="{C9865AC6-6811-46AB-B187-68D396FD7C8C}" name="Genus"/>
    <tableColumn id="8" xr3:uid="{7E870FAF-5595-48C5-A5E8-C9BC1D5224FF}" name="Species"/>
    <tableColumn id="9" xr3:uid="{E74B3058-BBD6-4174-BF28-AB95959D52C1}" name="Scientific name"/>
    <tableColumn id="10" xr3:uid="{716D8488-B5F2-4D6B-91D5-9E53243D1E3C}" name="Wikipedia summary text"/>
  </tableColumns>
  <tableStyleInfo name="TableStyleMedium2" showFirstColumn="0" showLastColumn="0" showRowStripes="1" showColumnStripes="0"/>
</table>
</file>

<file path=xl/tables/table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120234EF-82C9-4D49-BFB9-0EC20B891C3C}" name="Tbl_JPod" displayName="Tbl_JPod" ref="A1:K63" totalsRowShown="0">
  <autoFilter ref="A1:K63" xr:uid="{57CC5102-24C9-4134-A615-B4F8FFBA8515}"/>
  <tableColumns count="11">
    <tableColumn id="1" xr3:uid="{BE198F1A-D284-41DE-BD24-50385486F672}" name="Name"/>
    <tableColumn id="5" xr3:uid="{A40C93F3-8B88-4713-9CEB-AA6C13EDDF00}" name="Gender"/>
    <tableColumn id="3" xr3:uid="{4AC6F38C-F9F9-45BC-86F5-FD00A2DCA36D}" name="Mother"/>
    <tableColumn id="13" xr3:uid="{C19685F1-3284-43BC-91F2-88848537E1AC}" name="Grandmother" dataDxfId="35">
      <calculatedColumnFormula>_xlfn.XLOOKUP(Tbl_JPod[[#This Row],[Mother]],Tbl_JPod[Name],Tbl_JPod[Mother],"(unknown)")</calculatedColumnFormula>
    </tableColumn>
    <tableColumn id="2" xr3:uid="{1276DCE9-DB08-4015-A3E8-805F7CF49985}" name="Identification"/>
    <tableColumn id="4" xr3:uid="{BC31B3C5-EBB4-4F59-9A55-5257EF1A12F8}" name="Nickname"/>
    <tableColumn id="6" xr3:uid="{085F4063-907E-406F-8BCE-934CDB527E49}" name="Birth year"/>
    <tableColumn id="7" xr3:uid="{FA411B3F-54B4-4294-83FC-818835F40DB7}" name="Death year"/>
    <tableColumn id="8" xr3:uid="{442ECA07-024E-4DD2-9455-AEC8C25D0D58}" name="Life" dataDxfId="34">
      <calculatedColumnFormula>IF(Tbl_JPod[[#This Row],[Death year]]=Tbl_JPod[[#This Row],[Birth year]],Tbl_JPod[[#This Row],[Death year]]&amp;" (infant)",Tbl_JPod[[#This Row],[Birth year]]&amp;" - "&amp;IF(Tbl_JPod[[#This Row],[Death year]]="","present",Tbl_JPod[[#This Row],[Death year]]))</calculatedColumnFormula>
    </tableColumn>
    <tableColumn id="9" xr3:uid="{125F5E8C-00F3-436F-A325-CD37492D1E7C}" name="Number of children" dataDxfId="33">
      <calculatedColumnFormula>COUNTIF(Tbl_JPod[Mother],Tbl_JPod[[#This Row],[Name]])</calculatedColumnFormula>
    </tableColumn>
    <tableColumn id="10" xr3:uid="{C66FE69A-EA7E-4314-99BC-3E95EFDACC0C}" name="Calves" dataDxfId="32">
      <calculatedColumnFormula array="1">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calculatedColumnFormula>
    </tableColumn>
  </tableColumns>
  <tableStyleInfo name="TableStyleMedium2" showFirstColumn="0" showLastColumn="0" showRowStripes="1" showColumnStripes="0"/>
</table>
</file>

<file path=xl/tables/table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0" xr:uid="{C6B379A4-676B-4A2B-B665-1A861926FEAA}" name="Tbl_Taxonomy" displayName="Tbl_Taxonomy" ref="A1:E47" totalsRowShown="0">
  <autoFilter ref="A1:E47" xr:uid="{C6B379A4-676B-4A2B-B665-1A861926FEAA}"/>
  <tableColumns count="5">
    <tableColumn id="1" xr3:uid="{5EE97AB3-4BB4-4971-8660-D9C5F94FC862}" name="Common Name"/>
    <tableColumn id="5" xr3:uid="{ECABF2E2-1221-4844-AC70-773B30A14A1B}" name="scientific name"/>
    <tableColumn id="6" xr3:uid="{EE0476B9-1B0F-4E4B-A950-C46DDAB74418}" name="wikipedia summary text"/>
    <tableColumn id="7" xr3:uid="{64CD09EE-D82F-4922-83BA-1E8A27F1E4B7}" name="taxonomic level"/>
    <tableColumn id="8" xr3:uid="{69DAEA9D-F311-4027-8E1E-E96AF30154C4}" name="parent taxon" dataDxfId="31"/>
  </tableColumns>
  <tableStyleInfo name="TableStyleMedium2" showFirstColumn="0" showLastColumn="0" showRowStripes="1" showColumnStripes="0"/>
</table>
</file>

<file path=xl/tables/table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7" xr:uid="{0CE6C3E9-90AC-4C7E-AED1-5EBCA5594934}" name="Table7" displayName="Table7" ref="B2:O6" totalsRowShown="0">
  <autoFilter ref="B2:O6" xr:uid="{0CE6C3E9-90AC-4C7E-AED1-5EBCA5594934}"/>
  <tableColumns count="14">
    <tableColumn id="1" xr3:uid="{D6CBA699-18E8-4D94-BA76-F9451CC52E29}" name="Box"/>
    <tableColumn id="2" xr3:uid="{1FBC8EB0-7F81-46F6-A08E-A5B525FBC6B7}" name="Prompt"/>
    <tableColumn id="4" xr3:uid="{E157ED1D-8964-4A8E-ACF2-6CB90E489E8F}" name="Text1"/>
    <tableColumn id="5" xr3:uid="{A986C715-4637-4448-A0D6-0687208C04C1}" name="Text2"/>
    <tableColumn id="6" xr3:uid="{8914CF36-76CB-480D-8FC0-77FC16FC492C}" name="Text3"/>
    <tableColumn id="8" xr3:uid="{0D34DD90-0C7E-42B3-A77A-32EEE3CD9419}" name="TextSel" dataDxfId="30">
      <calculatedColumnFormula array="1">INDIRECT("DYN_Sel"&amp;Table7[[#This Row],[Box]],0)</calculatedColumnFormula>
    </tableColumn>
    <tableColumn id="7" xr3:uid="{4A135A77-4C1B-4B6C-A179-D16A4E93C2D8}" name="TextShow" dataDxfId="29">
      <calculatedColumnFormula>INDEX(Table7[[#This Row],[Text1]:[Text3]],1,MATCH(Table7[[#This Row],[TextSel]],Table7[[#This Row],[Text1]:[Text3]],0))</calculatedColumnFormula>
    </tableColumn>
    <tableColumn id="3" xr3:uid="{1D9CE891-3FFF-4476-BC06-5BC1DBC4F82F}" name="ImageViz1" dataDxfId="28">
      <calculatedColumnFormula>IF(Table7[[#This Row],[TextSel]]=Table7[[#This Row],[Text1]],1,NA())</calculatedColumnFormula>
    </tableColumn>
    <tableColumn id="9" xr3:uid="{3F8D91F0-11A7-4FEA-BC83-024376CCB33C}" name="ImageViz2" dataDxfId="27">
      <calculatedColumnFormula>IF(Table7[[#This Row],[TextSel]]=Table7[[#This Row],[Text2]],1,NA())</calculatedColumnFormula>
    </tableColumn>
    <tableColumn id="10" xr3:uid="{59AA3DAB-4A07-4947-B264-08F7CD386744}" name="ImageViz3" dataDxfId="26">
      <calculatedColumnFormula>IF(Table7[[#This Row],[TextSel]]=Table7[[#This Row],[Text3]],1,NA())</calculatedColumnFormula>
    </tableColumn>
    <tableColumn id="11" xr3:uid="{46966B20-0997-4DD5-A4F4-A6054A0AD965}" name="Desc1" dataDxfId="25"/>
    <tableColumn id="12" xr3:uid="{A097F6C4-4A04-47CC-8052-2C79C27E94CE}" name="Desc2" dataDxfId="24"/>
    <tableColumn id="13" xr3:uid="{3EB6386F-B607-4797-BBFE-E8B9A099FF91}" name="Desc3" dataDxfId="23"/>
    <tableColumn id="14" xr3:uid="{9209F1B3-1BD2-46DD-8ED9-B90535DFA5FD}" name="DescShow" dataDxfId="22">
      <calculatedColumnFormula>INDEX(Table7[[#This Row],[Desc1]:[Desc3]],1,MATCH(Table7[[#This Row],[TextSel]],Table7[[#This Row],[Text1]:[Text3]],0))</calculatedColumnFormula>
    </tableColumn>
  </tableColumns>
  <tableStyleInfo name="TableStyleMedium2" showFirstColumn="0" showLastColumn="0" showRowStripes="1" showColumnStripes="0"/>
</table>
</file>

<file path=xl/tables/table1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4E75CEAC-A534-42AF-A4F3-3ADAE3D2229B}" name="Table3" displayName="Table3" ref="B4:J11" totalsRowShown="0">
  <autoFilter ref="B4:J11" xr:uid="{DBAD0FFA-1FDA-426F-98FA-38E3F18FA4AF}"/>
  <tableColumns count="9">
    <tableColumn id="1" xr3:uid="{CC974867-4182-4A9A-BE25-A16670D198B7}" name="Name"/>
    <tableColumn id="2" xr3:uid="{A2A66E25-45AB-4B3C-A10C-FBCD4E6440B5}" name="Option1"/>
    <tableColumn id="3" xr3:uid="{CB8D9052-37D0-4315-8268-D9B3AE4FBE58}" name="Option2"/>
    <tableColumn id="4" xr3:uid="{28F27C75-B944-4D0C-9320-D25724720DF0}" name="Option3"/>
    <tableColumn id="5" xr3:uid="{F6770A6D-7059-445F-967F-F42670B74842}" name="Input"/>
    <tableColumn id="6" xr3:uid="{9F43A0CD-99D8-4A7F-B470-50C01BCA6E76}" name="Answer" dataDxfId="20">
      <calculatedColumnFormula array="1">INDEX(Table3[[#This Row],[Option1]:[Option3]],Table3[[#This Row],[Answer numb]])</calculatedColumnFormula>
    </tableColumn>
    <tableColumn id="9" xr3:uid="{848C6696-0D43-4352-9425-A767C123FC0D}" name="Answer numb"/>
    <tableColumn id="7" xr3:uid="{F2DAF6A2-B20A-47CD-BB13-FC4E2162382C}" name="Correct" dataDxfId="19">
      <calculatedColumnFormula>Table3[[#This Row],[Input]]=Table3[[#This Row],[Answer]]</calculatedColumnFormula>
    </tableColumn>
    <tableColumn id="8" xr3:uid="{1A0B8096-5EC1-4F07-BCF5-3FB263C6273F}" name="Column1" dataDxfId="18">
      <calculatedColumnFormula>IF(Table3[[#This Row],[Input]]=0,"",IF(Table3[[#This Row],[Correct]],"Nice job!","Try again!"))</calculatedColumnFormula>
    </tableColumn>
  </tableColumns>
  <tableStyleInfo name="TableStyleMedium2" showFirstColumn="0" showLastColumn="0" showRowStripes="1" showColumnStripes="0"/>
</table>
</file>

<file path=xl/tables/table1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7" xr:uid="{5634DEB9-282C-46AF-A242-A2E3820F9C6F}" name="Table17" displayName="Table17" ref="P3:Q14" totalsRowShown="0">
  <autoFilter ref="P3:Q14" xr:uid="{5634DEB9-282C-46AF-A242-A2E3820F9C6F}"/>
  <tableColumns count="2">
    <tableColumn id="1" xr3:uid="{810223CB-7595-4658-B2BC-534B38414B39}" name="Animals"/>
    <tableColumn id="2" xr3:uid="{7E0633BA-8BBF-4B1B-9F95-E21009A82801}" name="Vis" dataDxfId="17">
      <calculatedColumnFormula>IF(Table17[[#This Row],[Animals]]=Sel_P3_1,1,NA())</calculatedColumnFormula>
    </tableColumn>
  </tableColumns>
  <tableStyleInfo name="TableStyleMedium2" showFirstColumn="0" showLastColumn="0" showRowStripes="1" showColumnStripes="0"/>
</table>
</file>

<file path=xl/tables/table1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6" xr:uid="{A1EBB93B-88F7-4498-AFA9-C2E70C9F6ED3}" name="Table16" displayName="Table16" ref="B2:D7" totalsRowShown="0">
  <autoFilter ref="B2:D7" xr:uid="{4D096153-8C79-4E0D-A667-425B330CDBF0}"/>
  <tableColumns count="3">
    <tableColumn id="1" xr3:uid="{7B23AD2D-621E-49C7-8168-0FAE856A8D6A}" name="Charting steps"/>
    <tableColumn id="2" xr3:uid="{DB32CDFA-6B82-4DDD-BEFE-325E7747900D}" name="Title"/>
    <tableColumn id="3" xr3:uid="{2563B057-3D99-44EC-B418-19238716A914}" name="Text"/>
  </tableColumns>
  <tableStyleInfo name="TableStyleMedium2" showFirstColumn="0" showLastColumn="0" showRowStripes="1" showColumnStripes="0"/>
</table>
</file>

<file path=xl/tables/table1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9" xr:uid="{A743EFA6-92F1-4F0B-BF64-FCC2D65BD726}" name="Table19" displayName="Table19" ref="H2:I7" totalsRowShown="0">
  <autoFilter ref="H2:I7" xr:uid="{A743EFA6-92F1-4F0B-BF64-FCC2D65BD726}"/>
  <tableColumns count="2">
    <tableColumn id="1" xr3:uid="{DDFE4E04-D58C-42AD-90E9-888311828C6B}" name="Locations"/>
    <tableColumn id="2" xr3:uid="{4D536B70-163C-4656-A176-162AD2C3C372}" name="Img" dataDxfId="16">
      <calculatedColumnFormula>IF('5.Finding J Pod'!$D$17=Table19[[#This Row],[Locations]],1,NA())</calculatedColumnFormula>
    </tableColumn>
  </tableColumns>
  <tableStyleInfo name="TableStyleMedium2" showFirstColumn="0" showLastColumn="0" showRowStripes="1" showColumnStripes="0"/>
</table>
</file>

<file path=xl/tables/table1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 xr:uid="{870CBC61-5664-4A7B-9188-752E593C9142}" name="SightingTable" displayName="SightingTable" ref="D12:F20" totalsRowShown="0" headerRowDxfId="14" dataDxfId="13">
  <autoFilter ref="D12:F20" xr:uid="{ABBC816D-3759-47EB-8517-BB488F194795}"/>
  <tableColumns count="3">
    <tableColumn id="1" xr3:uid="{346CF815-34A0-4D1D-A48F-FEE1B9896AED}" name="Orca sighting locations" dataDxfId="12"/>
    <tableColumn id="2" xr3:uid="{7335F751-4EF3-4BC3-9321-4C0B88AE06B9}" name="Latitude" dataDxfId="11"/>
    <tableColumn id="3" xr3:uid="{21F97B1F-9043-446B-9873-0D532AF904D8}" name="Longitude" dataDxfId="10"/>
  </tableColumns>
  <tableStyleInfo name="TableStyleMedium2" showFirstColumn="0" showLastColumn="0" showRowStripes="1" showColumnStripes="0"/>
</table>
</file>

<file path=xl/tables/table1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8" xr:uid="{35DF461A-132B-4FBF-9595-11EBEF2E34D7}" name="Tbl_Badge" displayName="Tbl_Badge" ref="B2:F19" totalsRowShown="0">
  <autoFilter ref="B2:F19" xr:uid="{35DF461A-132B-4FBF-9595-11EBEF2E34D7}"/>
  <tableColumns count="5">
    <tableColumn id="1" xr3:uid="{AC16BCC6-B1C9-44A7-977D-8FB894B40283}" name="Page"/>
    <tableColumn id="3" xr3:uid="{75CF28F0-6389-4D29-A7BC-2FBFAECF4FB4}" name="Question" dataDxfId="5">
      <calculatedColumnFormula array="1">ROW()-ROW(Tbl_Badge[#Headers])</calculatedColumnFormula>
    </tableColumn>
    <tableColumn id="5" xr3:uid="{3FAC14AC-5F9E-41A1-B0FA-48BC7F136D16}" name="QuestionName"/>
    <tableColumn id="2" xr3:uid="{E56E34A8-4A56-4725-B8A2-F7FC0F0B1478}" name="Entry" dataDxfId="4">
      <calculatedColumnFormula array="1">INDIRECT(Tbl_Badge[[#This Row],[QuestionName]],FALSE)</calculatedColumnFormula>
    </tableColumn>
    <tableColumn id="6" xr3:uid="{760D46FC-ED35-408B-AE81-13DFF95AC107}" name="Correct if"/>
  </tableColumns>
  <tableStyleInfo name="TableStyleMedium2" showFirstColumn="0" showLastColumn="0" showRowStripes="1" showColumnStripes="0"/>
</table>
</file>

<file path=xl/tables/table1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9" xr:uid="{4E8DB5A0-BD2F-4C8B-B86F-23A95C599D11}" name="Tbl_BadgeQ" displayName="Tbl_BadgeQ" ref="H2:N36" totalsRowShown="0">
  <autoFilter ref="H2:N36" xr:uid="{4E8DB5A0-BD2F-4C8B-B86F-23A95C599D11}"/>
  <tableColumns count="7">
    <tableColumn id="1" xr3:uid="{D3960271-4DB6-4535-AE48-09154993467F}" name="Section"/>
    <tableColumn id="7" xr3:uid="{1FAF3713-E1BC-4C0A-8CA1-F872B8ECD233}" name="Page" dataDxfId="3">
      <calculatedColumnFormula>_xlfn.XLOOKUP(Tbl_BadgeQ[[#This Row],[Question]],Tbl_Badge[Question],Tbl_Badge[Page])</calculatedColumnFormula>
    </tableColumn>
    <tableColumn id="2" xr3:uid="{4A7B4BE2-FF1D-4976-8404-EB1D96CA5997}" name="Question"/>
    <tableColumn id="4" xr3:uid="{EC83F3AE-459B-4001-A193-6EEB92EDD0FA}" name="Total count" dataDxfId="2">
      <calculatedColumnFormula>COUNTIF(Tbl_Badge[Page],Tbl_BadgeQ[[#This Row],[Page]])/COUNTIF(Tbl_Badge[Page],Tbl_BadgeQ[[#This Row],[Page]])</calculatedColumnFormula>
    </tableColumn>
    <tableColumn id="5" xr3:uid="{74CE763D-79E5-452B-9692-F2D2F3DFEB68}" name="Response"/>
    <tableColumn id="3" xr3:uid="{EC4850EC-73F7-4F2C-B7AF-EAE996A6A5C0}" name="Value" dataDxfId="1">
      <calculatedColumnFormula>COUNTIFS(Tbl_Badge[Correct if],Tbl_BadgeQ[[#This Row],[Response]],Tbl_Badge[Question],Tbl_BadgeQ[[#This Row],[Question]])</calculatedColumnFormula>
    </tableColumn>
    <tableColumn id="6" xr3:uid="{220FCF9D-E4D2-49A7-96F4-15529E02B18E}" name="Percentage" dataDxfId="0">
      <calculatedColumnFormula>Tbl_BadgeQ[[#This Row],[Value]]/Tbl_BadgeQ[[#This Row],[Total count]]</calculatedColumnFormula>
    </tableColumn>
  </tableColumns>
  <tableStyleInfo name="TableStyleMedium2" showFirstColumn="0" showLastColumn="0" showRowStripes="1" showColumnStripes="0"/>
</table>
</file>

<file path=xl/tables/table1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93325256-D6BF-4618-BE49-8305E80DECD5}" name="Table1" displayName="Table1" ref="X8:AB12" totalsRowShown="0">
  <autoFilter ref="X8:AB12" xr:uid="{93325256-D6BF-4618-BE49-8305E80DECD5}"/>
  <tableColumns count="5">
    <tableColumn id="1" xr3:uid="{DDA17DBC-97F5-4570-BCD1-8F5DDBCAA374}" name="Complete"/>
    <tableColumn id="2" xr3:uid="{A961D05A-96AC-4EFA-A7A2-1E59CE6A748D}" name="Name"/>
    <tableColumn id="3" xr3:uid="{B4D0EC9C-839E-4EF9-ABE4-75C953909CD4}" name="Fill"/>
    <tableColumn id="4" xr3:uid="{C18AFBA2-C74C-4708-BF43-E1475B22FECF}" name="Text"/>
    <tableColumn id="5" xr3:uid="{F474719A-8233-40C0-B862-5B950472553E}" name="Text style"/>
  </tableColumns>
  <tableStyleInfo name="TableStyleMedium2" showFirstColumn="0" showLastColumn="0" showRowStripes="1" showColumnStripes="0"/>
</table>
</file>

<file path=xl/theme/theme1.xml><?xml version="1.0" encoding="utf-8"?>
<a:theme xmlns:a="http://schemas.openxmlformats.org/drawingml/2006/main" name="MSFT theme">
  <a:themeElements>
    <a:clrScheme name="Microsoft">
      <a:dk1>
        <a:srgbClr val="2F2F2F"/>
      </a:dk1>
      <a:lt1>
        <a:srgbClr val="FFFFFF"/>
      </a:lt1>
      <a:dk2>
        <a:srgbClr val="747474"/>
      </a:dk2>
      <a:lt2>
        <a:srgbClr val="F2F2F2"/>
      </a:lt2>
      <a:accent1>
        <a:srgbClr val="0078D4"/>
      </a:accent1>
      <a:accent2>
        <a:srgbClr val="D83B01"/>
      </a:accent2>
      <a:accent3>
        <a:srgbClr val="009245"/>
      </a:accent3>
      <a:accent4>
        <a:srgbClr val="EC008C"/>
      </a:accent4>
      <a:accent5>
        <a:srgbClr val="FFB900"/>
      </a:accent5>
      <a:accent6>
        <a:srgbClr val="AA0000"/>
      </a:accent6>
      <a:hlink>
        <a:srgbClr val="0078D4"/>
      </a:hlink>
      <a:folHlink>
        <a:srgbClr val="954F72"/>
      </a:folHlink>
    </a:clrScheme>
    <a:fontScheme name="Segoe UI">
      <a:majorFont>
        <a:latin typeface="Segoe UI Semibold"/>
        <a:ea typeface=""/>
        <a:cs typeface=""/>
      </a:majorFont>
      <a:minorFont>
        <a:latin typeface="Segoe UI"/>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table" Target="../tables/table1.xml"/></Relationships>
</file>

<file path=xl/worksheets/_rels/sheet2.xml.rels><?xml version="1.0" encoding="UTF-8" standalone="yes"?>
<Relationships xmlns="http://schemas.openxmlformats.org/package/2006/relationships"><Relationship Id="rId1" Type="http://schemas.openxmlformats.org/officeDocument/2006/relationships/table" Target="../tables/table2.xml"/></Relationships>
</file>

<file path=xl/worksheets/_rels/sheet3.xml.rels><?xml version="1.0" encoding="UTF-8" standalone="yes"?>
<Relationships xmlns="http://schemas.openxmlformats.org/package/2006/relationships"><Relationship Id="rId1" Type="http://schemas.openxmlformats.org/officeDocument/2006/relationships/table" Target="../tables/table3.xml"/></Relationships>
</file>

<file path=xl/worksheets/_rels/sheet4.xml.rels><?xml version="1.0" encoding="UTF-8" standalone="yes"?>
<Relationships xmlns="http://schemas.openxmlformats.org/package/2006/relationships"><Relationship Id="rId1" Type="http://schemas.openxmlformats.org/officeDocument/2006/relationships/table" Target="../tables/table4.xml"/></Relationships>
</file>

<file path=xl/worksheets/_rels/sheet5.xml.rels><?xml version="1.0" encoding="UTF-8" standalone="yes"?>
<Relationships xmlns="http://schemas.openxmlformats.org/package/2006/relationships"><Relationship Id="rId1" Type="http://schemas.openxmlformats.org/officeDocument/2006/relationships/table" Target="../tables/table5.xml"/></Relationships>
</file>

<file path=xl/worksheets/_rels/sheet6.xml.rels><?xml version="1.0" encoding="UTF-8" standalone="yes"?>
<Relationships xmlns="http://schemas.openxmlformats.org/package/2006/relationships"><Relationship Id="rId1" Type="http://schemas.openxmlformats.org/officeDocument/2006/relationships/table" Target="../tables/table6.xml"/></Relationships>
</file>

<file path=xl/worksheets/_rels/sheet7.xml.rels><?xml version="1.0" encoding="UTF-8" standalone="yes"?>
<Relationships xmlns="http://schemas.openxmlformats.org/package/2006/relationships"><Relationship Id="rId1" Type="http://schemas.openxmlformats.org/officeDocument/2006/relationships/table" Target="../tables/table7.xml"/></Relationships>
</file>

<file path=xl/worksheets/_rels/sheet8.xml.rels><?xml version="1.0" encoding="UTF-8" standalone="yes"?>
<Relationships xmlns="http://schemas.openxmlformats.org/package/2006/relationships"><Relationship Id="rId1" Type="http://schemas.openxmlformats.org/officeDocument/2006/relationships/table" Target="../tables/table8.xml"/></Relationships>
</file>

<file path=xl/worksheets/_rels/sheet9.xml.rels><?xml version="1.0" encoding="UTF-8" standalone="yes"?>
<Relationships xmlns="http://schemas.openxmlformats.org/package/2006/relationships"><Relationship Id="rId1" Type="http://schemas.openxmlformats.org/officeDocument/2006/relationships/table" Target="../tables/table9.xml"/></Relationships>
</file>

<file path=xl/worksheets/_rels/sheet11.xml.rels><?xml version="1.0" encoding="UTF-8" standalone="yes"?>
<Relationships xmlns="http://schemas.openxmlformats.org/package/2006/relationships"><Relationship Id="rId3" Type="http://schemas.openxmlformats.org/officeDocument/2006/relationships/table" Target="../tables/table11.xml"/><Relationship Id="rId2" Type="http://schemas.openxmlformats.org/officeDocument/2006/relationships/table" Target="../tables/table10.xml"/><Relationship Id="rId1" Type="http://schemas.openxmlformats.org/officeDocument/2006/relationships/printerSettings" Target="../printerSettings/printerSettings1.bin"/></Relationships>
</file>

<file path=xl/worksheets/_rels/sheet12.xml.rels><?xml version="1.0" encoding="UTF-8" standalone="yes"?>
<Relationships xmlns="http://schemas.openxmlformats.org/package/2006/relationships"><Relationship Id="rId2" Type="http://schemas.openxmlformats.org/officeDocument/2006/relationships/table" Target="../tables/table13.xml"/><Relationship Id="rId1" Type="http://schemas.openxmlformats.org/officeDocument/2006/relationships/table" Target="../tables/table12.xml"/></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https://vimeo.com/432190266/b9305cf75a" TargetMode="Externa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21.xml.rels><?xml version="1.0" encoding="UTF-8" standalone="yes"?>
<Relationships xmlns="http://schemas.openxmlformats.org/package/2006/relationships"><Relationship Id="rId3" Type="http://schemas.openxmlformats.org/officeDocument/2006/relationships/table" Target="../tables/table14.xml"/><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24.xml.rels><?xml version="1.0" encoding="UTF-8" standalone="yes"?>
<Relationships xmlns="http://schemas.openxmlformats.org/package/2006/relationships"><Relationship Id="rId3" Type="http://schemas.openxmlformats.org/officeDocument/2006/relationships/table" Target="../tables/table17.xml"/><Relationship Id="rId2" Type="http://schemas.openxmlformats.org/officeDocument/2006/relationships/table" Target="../tables/table16.xml"/><Relationship Id="rId1" Type="http://schemas.openxmlformats.org/officeDocument/2006/relationships/table" Target="../tables/table15.xml"/></Relationships>
</file>

<file path=xl/worksheets/_rels/sheet25.xml.rels><?xml version="1.0" encoding="UTF-8" standalone="yes"?>
<Relationships xmlns="http://schemas.openxmlformats.org/package/2006/relationships"><Relationship Id="rId2" Type="http://schemas.openxmlformats.org/officeDocument/2006/relationships/printerSettings" Target="../printerSettings/printerSettings12.bin"/><Relationship Id="rId1" Type="http://schemas.openxmlformats.org/officeDocument/2006/relationships/hyperlink" Target="https://aka.ms/OrcaData"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43E466-6898-424F-9C2C-843CF7A73017}">
  <dimension ref="A1:D13"/>
  <sheetViews>
    <sheetView workbookViewId="0">
      <selection activeCell="H20" sqref="H20:I21"/>
    </sheetView>
  </sheetViews>
  <sheetFormatPr defaultRowHeight="16.5"/>
  <cols>
    <col min="1" max="1" width="26" bestFit="1" customWidth="1"/>
  </cols>
  <sheetData>
    <row r="1" spans="1:4">
      <c r="A1" t="s">
        <v>0</v>
      </c>
    </row>
    <row r="2" spans="1:4">
      <c r="A2" t="e" vm="1">
        <v>#VALUE!</v>
      </c>
    </row>
    <row r="3" spans="1:4">
      <c r="A3" t="e" vm="2">
        <v>#VALUE!</v>
      </c>
    </row>
    <row r="4" spans="1:4">
      <c r="A4" t="e" vm="3">
        <v>#VALUE!</v>
      </c>
    </row>
    <row r="5" spans="1:4">
      <c r="A5" t="e" vm="4">
        <v>#VALUE!</v>
      </c>
    </row>
    <row r="6" spans="1:4">
      <c r="A6" t="e" vm="5">
        <v>#VALUE!</v>
      </c>
    </row>
    <row r="7" spans="1:4">
      <c r="A7" t="e" vm="6">
        <v>#VALUE!</v>
      </c>
    </row>
    <row r="8" spans="1:4">
      <c r="A8" t="e" vm="7">
        <v>#VALUE!</v>
      </c>
      <c r="D8" t="e" vm="1">
        <v>#VALUE!</v>
      </c>
    </row>
    <row r="9" spans="1:4">
      <c r="A9" t="e" vm="8">
        <v>#VALUE!</v>
      </c>
    </row>
    <row r="10" spans="1:4">
      <c r="A10" t="e" vm="9">
        <v>#VALUE!</v>
      </c>
    </row>
    <row r="11" spans="1:4">
      <c r="A11" t="e" vm="10">
        <v>#VALUE!</v>
      </c>
    </row>
    <row r="12" spans="1:4">
      <c r="A12" t="e" vm="11">
        <v>#VALUE!</v>
      </c>
    </row>
    <row r="13" spans="1:4">
      <c r="A13" t="e" vm="12">
        <v>#VALUE!</v>
      </c>
    </row>
  </sheetData>
  <pageMargins left="0.7" right="0.7" top="0.75" bottom="0.75" header="0.3" footer="0.3"/>
  <tableParts count="1">
    <tablePart r:id="rId1"/>
  </tablePart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E3E35C-97C4-4C08-896D-1DC7D7D6F6AF}">
  <dimension ref="A1:D47"/>
  <sheetViews>
    <sheetView workbookViewId="0">
      <selection activeCell="H20" sqref="H20:I21"/>
    </sheetView>
  </sheetViews>
  <sheetFormatPr defaultRowHeight="16.5"/>
  <cols>
    <col min="1" max="1" width="42.25" bestFit="1" customWidth="1"/>
    <col min="2" max="2" width="7.625" bestFit="1" customWidth="1"/>
    <col min="3" max="3" width="10.375" bestFit="1" customWidth="1"/>
  </cols>
  <sheetData>
    <row r="1" spans="1:4">
      <c r="A1" t="s">
        <v>1</v>
      </c>
    </row>
    <row r="2" spans="1:4">
      <c r="A2" t="e" vm="13">
        <v>#VALUE!</v>
      </c>
      <c r="D2" t="e" vm="14">
        <v>#VALUE!</v>
      </c>
    </row>
    <row r="3" spans="1:4">
      <c r="A3" t="e" vm="15">
        <v>#VALUE!</v>
      </c>
      <c r="D3" t="e" vm="13">
        <v>#VALUE!</v>
      </c>
    </row>
    <row r="4" spans="1:4">
      <c r="A4" t="e" vm="16">
        <v>#VALUE!</v>
      </c>
      <c r="D4" t="e" vm="15">
        <v>#VALUE!</v>
      </c>
    </row>
    <row r="5" spans="1:4">
      <c r="A5" t="e" vm="17">
        <v>#VALUE!</v>
      </c>
    </row>
    <row r="6" spans="1:4">
      <c r="A6" t="e" vm="18">
        <v>#VALUE!</v>
      </c>
    </row>
    <row r="7" spans="1:4">
      <c r="A7" t="e" vm="19">
        <v>#VALUE!</v>
      </c>
    </row>
    <row r="8" spans="1:4">
      <c r="A8" t="e" vm="20">
        <v>#VALUE!</v>
      </c>
    </row>
    <row r="9" spans="1:4">
      <c r="A9" t="e" vm="21">
        <v>#VALUE!</v>
      </c>
    </row>
    <row r="10" spans="1:4">
      <c r="A10" t="e" vm="22">
        <v>#VALUE!</v>
      </c>
    </row>
    <row r="11" spans="1:4">
      <c r="A11" t="e" vm="23">
        <v>#VALUE!</v>
      </c>
    </row>
    <row r="12" spans="1:4">
      <c r="A12" t="e" vm="24">
        <v>#VALUE!</v>
      </c>
    </row>
    <row r="13" spans="1:4">
      <c r="A13" t="e" vm="25">
        <v>#VALUE!</v>
      </c>
    </row>
    <row r="14" spans="1:4">
      <c r="A14" t="e" vm="26">
        <v>#VALUE!</v>
      </c>
    </row>
    <row r="15" spans="1:4">
      <c r="A15" t="e" vm="27">
        <v>#VALUE!</v>
      </c>
    </row>
    <row r="16" spans="1:4">
      <c r="A16" t="e" vm="28">
        <v>#VALUE!</v>
      </c>
    </row>
    <row r="17" spans="1:1">
      <c r="A17" t="e" vm="29">
        <v>#VALUE!</v>
      </c>
    </row>
    <row r="18" spans="1:1">
      <c r="A18" t="e" vm="30">
        <v>#VALUE!</v>
      </c>
    </row>
    <row r="19" spans="1:1">
      <c r="A19" t="e" vm="31">
        <v>#VALUE!</v>
      </c>
    </row>
    <row r="20" spans="1:1">
      <c r="A20" t="e" vm="32">
        <v>#VALUE!</v>
      </c>
    </row>
    <row r="21" spans="1:1">
      <c r="A21" t="e" vm="33">
        <v>#VALUE!</v>
      </c>
    </row>
    <row r="22" spans="1:1">
      <c r="A22" t="e" vm="34">
        <v>#VALUE!</v>
      </c>
    </row>
    <row r="23" spans="1:1">
      <c r="A23" t="e" vm="35">
        <v>#VALUE!</v>
      </c>
    </row>
    <row r="24" spans="1:1">
      <c r="A24" t="e" vm="36">
        <v>#VALUE!</v>
      </c>
    </row>
    <row r="25" spans="1:1">
      <c r="A25" t="e" vm="37">
        <v>#VALUE!</v>
      </c>
    </row>
    <row r="26" spans="1:1">
      <c r="A26" t="e" vm="38">
        <v>#VALUE!</v>
      </c>
    </row>
    <row r="27" spans="1:1">
      <c r="A27" t="e" vm="39">
        <v>#VALUE!</v>
      </c>
    </row>
    <row r="28" spans="1:1">
      <c r="A28" t="e" vm="40">
        <v>#VALUE!</v>
      </c>
    </row>
    <row r="29" spans="1:1">
      <c r="A29" t="e" vm="41">
        <v>#VALUE!</v>
      </c>
    </row>
    <row r="30" spans="1:1">
      <c r="A30" t="e" vm="42">
        <v>#VALUE!</v>
      </c>
    </row>
    <row r="31" spans="1:1">
      <c r="A31" t="e" vm="43">
        <v>#VALUE!</v>
      </c>
    </row>
    <row r="32" spans="1:1">
      <c r="A32" t="e" vm="44">
        <v>#VALUE!</v>
      </c>
    </row>
    <row r="33" spans="1:1">
      <c r="A33" t="e" vm="45">
        <v>#VALUE!</v>
      </c>
    </row>
    <row r="34" spans="1:1">
      <c r="A34" t="e" vm="46">
        <v>#VALUE!</v>
      </c>
    </row>
    <row r="35" spans="1:1">
      <c r="A35" t="e" vm="47">
        <v>#VALUE!</v>
      </c>
    </row>
    <row r="36" spans="1:1">
      <c r="A36" t="e" vm="48">
        <v>#VALUE!</v>
      </c>
    </row>
    <row r="37" spans="1:1">
      <c r="A37" t="e" vm="49">
        <v>#VALUE!</v>
      </c>
    </row>
    <row r="38" spans="1:1">
      <c r="A38" t="e" vm="50">
        <v>#VALUE!</v>
      </c>
    </row>
    <row r="39" spans="1:1">
      <c r="A39" t="e" vm="51">
        <v>#VALUE!</v>
      </c>
    </row>
    <row r="40" spans="1:1">
      <c r="A40" t="e" vm="52">
        <v>#VALUE!</v>
      </c>
    </row>
    <row r="41" spans="1:1">
      <c r="A41" t="e" vm="53">
        <v>#VALUE!</v>
      </c>
    </row>
    <row r="42" spans="1:1">
      <c r="A42" t="e" vm="54">
        <v>#VALUE!</v>
      </c>
    </row>
    <row r="43" spans="1:1">
      <c r="A43" t="e" vm="55">
        <v>#VALUE!</v>
      </c>
    </row>
    <row r="44" spans="1:1">
      <c r="A44" t="e" vm="56">
        <v>#VALUE!</v>
      </c>
    </row>
    <row r="45" spans="1:1">
      <c r="A45" t="e" vm="57">
        <v>#VALUE!</v>
      </c>
    </row>
    <row r="46" spans="1:1">
      <c r="A46" t="e" vm="58">
        <v>#VALUE!</v>
      </c>
    </row>
    <row r="47" spans="1:1">
      <c r="A47" t="e" vm="14">
        <v>#VALUE!</v>
      </c>
    </row>
  </sheetData>
  <phoneticPr fontId="1" type="noConversion"/>
  <pageMargins left="0.7" right="0.7" top="0.75" bottom="0.75" header="0.3" footer="0.3"/>
  <tableParts count="1">
    <tablePart r:id="rId1"/>
  </tablePar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29A615-1709-447C-B49B-560A30B35D2C}">
  <sheetPr codeName="Sheet2"/>
  <dimension ref="A1:D63"/>
  <sheetViews>
    <sheetView topLeftCell="A30" workbookViewId="0">
      <selection activeCell="H20" sqref="H20:I21"/>
    </sheetView>
  </sheetViews>
  <sheetFormatPr defaultColWidth="8.875" defaultRowHeight="16.5"/>
  <cols>
    <col min="1" max="2" width="20.625" bestFit="1" customWidth="1"/>
    <col min="3" max="3" width="11" bestFit="1" customWidth="1"/>
    <col min="4" max="4" width="27.125" bestFit="1" customWidth="1"/>
  </cols>
  <sheetData>
    <row r="1" spans="1:4">
      <c r="A1" t="s">
        <v>2</v>
      </c>
    </row>
    <row r="2" spans="1:4">
      <c r="A2" t="e" vm="59">
        <v>#VALUE!</v>
      </c>
    </row>
    <row r="3" spans="1:4">
      <c r="A3" t="e" vm="60">
        <v>#VALUE!</v>
      </c>
    </row>
    <row r="4" spans="1:4">
      <c r="A4" t="e" vm="61">
        <v>#VALUE!</v>
      </c>
      <c r="D4" t="e" vm="62">
        <v>#VALUE!</v>
      </c>
    </row>
    <row r="5" spans="1:4">
      <c r="A5" t="e" vm="63">
        <v>#VALUE!</v>
      </c>
      <c r="D5" t="e" vm="64">
        <v>#VALUE!</v>
      </c>
    </row>
    <row r="6" spans="1:4">
      <c r="A6" t="e" vm="65">
        <v>#VALUE!</v>
      </c>
      <c r="D6" t="e" vm="66">
        <v>#VALUE!</v>
      </c>
    </row>
    <row r="7" spans="1:4">
      <c r="A7" t="e" vm="67">
        <v>#VALUE!</v>
      </c>
      <c r="D7" t="e" vm="68">
        <v>#VALUE!</v>
      </c>
    </row>
    <row r="8" spans="1:4">
      <c r="A8" t="e" vm="69">
        <v>#VALUE!</v>
      </c>
    </row>
    <row r="9" spans="1:4">
      <c r="A9" t="e" vm="70">
        <v>#VALUE!</v>
      </c>
    </row>
    <row r="10" spans="1:4">
      <c r="A10" t="e" vm="71">
        <v>#VALUE!</v>
      </c>
    </row>
    <row r="11" spans="1:4">
      <c r="A11" t="e" vm="72">
        <v>#VALUE!</v>
      </c>
    </row>
    <row r="12" spans="1:4">
      <c r="A12" t="e" vm="73">
        <v>#VALUE!</v>
      </c>
    </row>
    <row r="13" spans="1:4">
      <c r="A13" t="e" vm="74">
        <v>#VALUE!</v>
      </c>
    </row>
    <row r="14" spans="1:4">
      <c r="A14" t="e" vm="75">
        <v>#VALUE!</v>
      </c>
    </row>
    <row r="15" spans="1:4">
      <c r="A15" t="e" vm="76">
        <v>#VALUE!</v>
      </c>
    </row>
    <row r="16" spans="1:4">
      <c r="A16" t="e" vm="77">
        <v>#VALUE!</v>
      </c>
    </row>
    <row r="17" spans="1:1">
      <c r="A17" t="e" vm="78">
        <v>#VALUE!</v>
      </c>
    </row>
    <row r="18" spans="1:1">
      <c r="A18" t="e" vm="79">
        <v>#VALUE!</v>
      </c>
    </row>
    <row r="19" spans="1:1">
      <c r="A19" t="e" vm="80">
        <v>#VALUE!</v>
      </c>
    </row>
    <row r="20" spans="1:1">
      <c r="A20" t="e" vm="81">
        <v>#VALUE!</v>
      </c>
    </row>
    <row r="21" spans="1:1">
      <c r="A21" t="e" vm="82">
        <v>#VALUE!</v>
      </c>
    </row>
    <row r="22" spans="1:1">
      <c r="A22" t="e" vm="83">
        <v>#VALUE!</v>
      </c>
    </row>
    <row r="23" spans="1:1">
      <c r="A23" t="e" vm="84">
        <v>#VALUE!</v>
      </c>
    </row>
    <row r="24" spans="1:1">
      <c r="A24" t="e" vm="85">
        <v>#VALUE!</v>
      </c>
    </row>
    <row r="25" spans="1:1">
      <c r="A25" t="e" vm="86">
        <v>#VALUE!</v>
      </c>
    </row>
    <row r="26" spans="1:1">
      <c r="A26" t="e" vm="87">
        <v>#VALUE!</v>
      </c>
    </row>
    <row r="27" spans="1:1">
      <c r="A27" t="e" vm="88">
        <v>#VALUE!</v>
      </c>
    </row>
    <row r="28" spans="1:1">
      <c r="A28" t="e" vm="89">
        <v>#VALUE!</v>
      </c>
    </row>
    <row r="29" spans="1:1">
      <c r="A29" t="e" vm="90">
        <v>#VALUE!</v>
      </c>
    </row>
    <row r="30" spans="1:1">
      <c r="A30" t="e" vm="91">
        <v>#VALUE!</v>
      </c>
    </row>
    <row r="31" spans="1:1">
      <c r="A31" t="e" vm="92">
        <v>#VALUE!</v>
      </c>
    </row>
    <row r="32" spans="1:1">
      <c r="A32" t="e" vm="93">
        <v>#VALUE!</v>
      </c>
    </row>
    <row r="33" spans="1:1">
      <c r="A33" t="e" vm="94">
        <v>#VALUE!</v>
      </c>
    </row>
    <row r="34" spans="1:1">
      <c r="A34" t="e" vm="95">
        <v>#VALUE!</v>
      </c>
    </row>
    <row r="35" spans="1:1">
      <c r="A35" t="e" vm="96">
        <v>#VALUE!</v>
      </c>
    </row>
    <row r="36" spans="1:1">
      <c r="A36" t="e" vm="97">
        <v>#VALUE!</v>
      </c>
    </row>
    <row r="37" spans="1:1">
      <c r="A37" t="e" vm="98">
        <v>#VALUE!</v>
      </c>
    </row>
    <row r="38" spans="1:1">
      <c r="A38" t="e" vm="99">
        <v>#VALUE!</v>
      </c>
    </row>
    <row r="39" spans="1:1">
      <c r="A39" t="e" vm="100">
        <v>#VALUE!</v>
      </c>
    </row>
    <row r="40" spans="1:1">
      <c r="A40" t="e" vm="101">
        <v>#VALUE!</v>
      </c>
    </row>
    <row r="41" spans="1:1">
      <c r="A41" t="e" vm="102">
        <v>#VALUE!</v>
      </c>
    </row>
    <row r="42" spans="1:1">
      <c r="A42" t="e" vm="103">
        <v>#VALUE!</v>
      </c>
    </row>
    <row r="43" spans="1:1">
      <c r="A43" t="e" vm="104">
        <v>#VALUE!</v>
      </c>
    </row>
    <row r="44" spans="1:1">
      <c r="A44" t="e" vm="105">
        <v>#VALUE!</v>
      </c>
    </row>
    <row r="45" spans="1:1">
      <c r="A45" t="e" vm="106">
        <v>#VALUE!</v>
      </c>
    </row>
    <row r="46" spans="1:1">
      <c r="A46" t="e" vm="107">
        <v>#VALUE!</v>
      </c>
    </row>
    <row r="47" spans="1:1">
      <c r="A47" t="e" vm="108">
        <v>#VALUE!</v>
      </c>
    </row>
    <row r="48" spans="1:1">
      <c r="A48" t="e" vm="109">
        <v>#VALUE!</v>
      </c>
    </row>
    <row r="49" spans="1:1">
      <c r="A49" t="e" vm="110">
        <v>#VALUE!</v>
      </c>
    </row>
    <row r="50" spans="1:1">
      <c r="A50" t="e" vm="111">
        <v>#VALUE!</v>
      </c>
    </row>
    <row r="51" spans="1:1">
      <c r="A51" t="e" vm="112">
        <v>#VALUE!</v>
      </c>
    </row>
    <row r="52" spans="1:1">
      <c r="A52" t="e" vm="113">
        <v>#VALUE!</v>
      </c>
    </row>
    <row r="53" spans="1:1">
      <c r="A53" t="e" vm="114">
        <v>#VALUE!</v>
      </c>
    </row>
    <row r="54" spans="1:1">
      <c r="A54" t="e" vm="115">
        <v>#VALUE!</v>
      </c>
    </row>
    <row r="55" spans="1:1">
      <c r="A55" t="e" vm="116">
        <v>#VALUE!</v>
      </c>
    </row>
    <row r="56" spans="1:1">
      <c r="A56" t="e" vm="117">
        <v>#VALUE!</v>
      </c>
    </row>
    <row r="57" spans="1:1">
      <c r="A57" t="e" vm="118">
        <v>#VALUE!</v>
      </c>
    </row>
    <row r="58" spans="1:1">
      <c r="A58" t="e" vm="119">
        <v>#VALUE!</v>
      </c>
    </row>
    <row r="59" spans="1:1">
      <c r="A59" t="e" vm="120">
        <v>#VALUE!</v>
      </c>
    </row>
    <row r="60" spans="1:1">
      <c r="A60" t="e" vm="121">
        <v>#VALUE!</v>
      </c>
    </row>
    <row r="61" spans="1:1">
      <c r="A61" t="e" vm="122">
        <v>#VALUE!</v>
      </c>
    </row>
    <row r="62" spans="1:1">
      <c r="A62" t="e" vm="123">
        <v>#VALUE!</v>
      </c>
    </row>
    <row r="63" spans="1:1">
      <c r="A63" t="e" vm="124">
        <v>#VALUE!</v>
      </c>
    </row>
  </sheetData>
  <sortState xmlns:xlrd2="http://schemas.microsoft.com/office/spreadsheetml/2017/richdata2" ref="F4:F7">
    <sortCondition ref="F4:F7"/>
  </sortState>
  <pageMargins left="0.7" right="0.7" top="0.75" bottom="0.75" header="0.3" footer="0.3"/>
  <tableParts count="1">
    <tablePart r:id="rId1"/>
  </tablePar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3E123B-E251-498E-B54D-24DAFDBD6F0E}">
  <dimension ref="A1:A9"/>
  <sheetViews>
    <sheetView workbookViewId="0">
      <selection activeCell="H20" sqref="H20:I21"/>
    </sheetView>
  </sheetViews>
  <sheetFormatPr defaultRowHeight="16.5"/>
  <cols>
    <col min="1" max="1" width="15.75" bestFit="1" customWidth="1"/>
  </cols>
  <sheetData>
    <row r="1" spans="1:1">
      <c r="A1" t="s">
        <v>3</v>
      </c>
    </row>
    <row r="2" spans="1:1">
      <c r="A2" t="e" vm="125">
        <v>#VALUE!</v>
      </c>
    </row>
    <row r="3" spans="1:1">
      <c r="A3" t="e" vm="126">
        <v>#VALUE!</v>
      </c>
    </row>
    <row r="4" spans="1:1">
      <c r="A4" t="e" vm="127">
        <v>#VALUE!</v>
      </c>
    </row>
    <row r="5" spans="1:1">
      <c r="A5" t="e" vm="128">
        <v>#VALUE!</v>
      </c>
    </row>
    <row r="6" spans="1:1">
      <c r="A6" t="e" vm="129">
        <v>#VALUE!</v>
      </c>
    </row>
    <row r="7" spans="1:1">
      <c r="A7" t="e" vm="130">
        <v>#VALUE!</v>
      </c>
    </row>
    <row r="8" spans="1:1">
      <c r="A8" t="e" vm="131">
        <v>#VALUE!</v>
      </c>
    </row>
    <row r="9" spans="1:1">
      <c r="A9" t="e" vm="132">
        <v>#VALUE!</v>
      </c>
    </row>
  </sheetData>
  <pageMargins left="0.7" right="0.7" top="0.75" bottom="0.75" header="0.3" footer="0.3"/>
  <tableParts count="1">
    <tablePart r:id="rId1"/>
  </tablePart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030784-81D9-47CD-873A-FEACB7022640}">
  <sheetPr>
    <tabColor theme="9"/>
  </sheetPr>
  <dimension ref="A1:E9"/>
  <sheetViews>
    <sheetView workbookViewId="0">
      <selection activeCell="H20" sqref="H20:I21"/>
    </sheetView>
  </sheetViews>
  <sheetFormatPr defaultRowHeight="16.5"/>
  <cols>
    <col min="1" max="1" width="20.125" customWidth="1"/>
    <col min="2" max="2" width="35.5" bestFit="1" customWidth="1"/>
  </cols>
  <sheetData>
    <row r="1" spans="1:5">
      <c r="A1" s="202" t="s">
        <v>4</v>
      </c>
      <c r="B1" s="202" t="s">
        <v>5</v>
      </c>
      <c r="C1" s="202" t="s">
        <v>6</v>
      </c>
      <c r="D1" s="202" t="s">
        <v>7</v>
      </c>
      <c r="E1" s="202" t="s">
        <v>8</v>
      </c>
    </row>
    <row r="2" spans="1:5">
      <c r="A2" s="200" t="s">
        <v>9</v>
      </c>
      <c r="B2" s="44" t="s">
        <v>10</v>
      </c>
      <c r="C2" s="44" vm="133">
        <v>5387</v>
      </c>
      <c r="D2" s="204" vm="134">
        <v>48.645659999999999</v>
      </c>
      <c r="E2" s="44" vm="135">
        <v>-122.96574</v>
      </c>
    </row>
    <row r="3" spans="1:5">
      <c r="A3" s="201" t="s">
        <v>11</v>
      </c>
      <c r="B3" s="44" t="s">
        <v>10</v>
      </c>
      <c r="C3" s="44" vm="136">
        <v>6822</v>
      </c>
      <c r="D3" s="201" vm="137">
        <v>48.533332999999999</v>
      </c>
      <c r="E3" s="44" vm="138">
        <v>-123.083333</v>
      </c>
    </row>
    <row r="4" spans="1:5">
      <c r="A4" s="200" t="s">
        <v>12</v>
      </c>
      <c r="B4" s="44" t="s">
        <v>13</v>
      </c>
      <c r="C4" s="44" vm="139">
        <v>2245</v>
      </c>
      <c r="D4" s="201" vm="140">
        <v>48.780250000000002</v>
      </c>
      <c r="E4" s="44" vm="141">
        <v>-123.28322</v>
      </c>
    </row>
    <row r="5" spans="1:5">
      <c r="A5" s="201" t="s">
        <v>14</v>
      </c>
      <c r="B5" s="44" t="s">
        <v>13</v>
      </c>
      <c r="C5" s="44" vm="142">
        <v>350</v>
      </c>
      <c r="D5" s="201" vm="143">
        <v>48.783332999999999</v>
      </c>
      <c r="E5" s="44" vm="144">
        <v>-123.15</v>
      </c>
    </row>
    <row r="6" spans="1:5">
      <c r="A6" s="200" t="s">
        <v>15</v>
      </c>
      <c r="B6" s="44" t="s">
        <v>16</v>
      </c>
      <c r="C6" s="44" vm="145">
        <v>2177</v>
      </c>
      <c r="D6" s="201" vm="146">
        <v>48.478889000000002</v>
      </c>
      <c r="E6" s="44" vm="147">
        <v>-122.891944</v>
      </c>
    </row>
    <row r="7" spans="1:5">
      <c r="A7" s="201" t="s">
        <v>17</v>
      </c>
      <c r="B7" s="44" t="s">
        <v>18</v>
      </c>
      <c r="C7" s="44" vm="148">
        <v>58211</v>
      </c>
      <c r="D7" s="201" vm="149">
        <v>48.136389000000001</v>
      </c>
      <c r="E7" s="44" vm="150">
        <v>-122.5825</v>
      </c>
    </row>
    <row r="8" spans="1:5">
      <c r="A8" s="200" t="s">
        <v>19</v>
      </c>
      <c r="B8" s="44" t="s">
        <v>16</v>
      </c>
      <c r="C8" s="44" vm="151">
        <v>10624</v>
      </c>
      <c r="D8" s="201" vm="152">
        <v>47.416111000000001</v>
      </c>
      <c r="E8" s="44" vm="153">
        <v>-122.468333</v>
      </c>
    </row>
    <row r="9" spans="1:5">
      <c r="A9" s="203" t="s">
        <v>20</v>
      </c>
      <c r="B9" s="44" t="s">
        <v>18</v>
      </c>
      <c r="C9" s="44" vm="154">
        <v>13358</v>
      </c>
      <c r="D9" s="203" vm="155">
        <v>48.182333</v>
      </c>
      <c r="E9" s="44" vm="156">
        <v>-122.50444400000001</v>
      </c>
    </row>
  </sheetData>
  <phoneticPr fontId="1" type="noConversion"/>
  <pageMargins left="0.7" right="0.7" top="0.75" bottom="0.75" header="0.3" footer="0.3"/>
  <tableParts count="1">
    <tablePart r:id="rId1"/>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BE22607-DA28-4F00-AFDF-3FAD414CC883}">
  <sheetPr>
    <tabColor theme="9"/>
  </sheetPr>
  <dimension ref="A1:J13"/>
  <sheetViews>
    <sheetView workbookViewId="0">
      <selection activeCell="H20" sqref="H20:I21"/>
    </sheetView>
  </sheetViews>
  <sheetFormatPr defaultRowHeight="16.5"/>
  <cols>
    <col min="1" max="1" width="16.5" customWidth="1"/>
    <col min="4" max="4" width="34.375" bestFit="1" customWidth="1"/>
    <col min="5" max="5" width="37" bestFit="1" customWidth="1"/>
  </cols>
  <sheetData>
    <row r="1" spans="1:10">
      <c r="A1" t="s">
        <v>21</v>
      </c>
      <c r="B1" t="s">
        <v>22</v>
      </c>
      <c r="C1" t="s">
        <v>23</v>
      </c>
      <c r="D1" t="s">
        <v>24</v>
      </c>
      <c r="E1" t="s">
        <v>25</v>
      </c>
      <c r="F1" t="s">
        <v>26</v>
      </c>
      <c r="G1" t="s">
        <v>27</v>
      </c>
      <c r="H1" t="s">
        <v>28</v>
      </c>
      <c r="I1" t="s">
        <v>29</v>
      </c>
      <c r="J1" t="s">
        <v>30</v>
      </c>
    </row>
    <row r="2" spans="1:10">
      <c r="A2" t="s">
        <v>31</v>
      </c>
      <c r="B2" t="s">
        <v>32</v>
      </c>
      <c r="C2" t="s">
        <v>33</v>
      </c>
      <c r="D2" t="s">
        <v>34</v>
      </c>
      <c r="E2" t="s">
        <v>35</v>
      </c>
      <c r="F2" t="s">
        <v>36</v>
      </c>
      <c r="G2" t="s">
        <v>37</v>
      </c>
      <c r="H2" t="s">
        <v>31</v>
      </c>
      <c r="I2" t="s">
        <v>38</v>
      </c>
      <c r="J2" t="s">
        <v>39</v>
      </c>
    </row>
    <row r="3" spans="1:10">
      <c r="A3" t="s">
        <v>40</v>
      </c>
      <c r="B3" t="s">
        <v>32</v>
      </c>
      <c r="C3" t="s">
        <v>33</v>
      </c>
      <c r="D3" t="s">
        <v>34</v>
      </c>
      <c r="E3" t="s">
        <v>35</v>
      </c>
      <c r="F3" t="s">
        <v>36</v>
      </c>
      <c r="G3" t="s">
        <v>41</v>
      </c>
      <c r="H3" t="s">
        <v>40</v>
      </c>
      <c r="I3" t="s">
        <v>42</v>
      </c>
      <c r="J3" t="s">
        <v>43</v>
      </c>
    </row>
    <row r="4" spans="1:10">
      <c r="A4" t="s">
        <v>44</v>
      </c>
      <c r="B4" t="s">
        <v>32</v>
      </c>
      <c r="C4" t="s">
        <v>33</v>
      </c>
      <c r="D4" t="s">
        <v>34</v>
      </c>
      <c r="E4" t="s">
        <v>35</v>
      </c>
      <c r="F4" t="s">
        <v>45</v>
      </c>
      <c r="G4" t="s">
        <v>44</v>
      </c>
      <c r="H4" t="s">
        <v>44</v>
      </c>
      <c r="I4" t="s">
        <v>46</v>
      </c>
      <c r="J4" t="s">
        <v>47</v>
      </c>
    </row>
    <row r="5" spans="1:10">
      <c r="A5" t="s">
        <v>48</v>
      </c>
      <c r="B5" t="s">
        <v>32</v>
      </c>
      <c r="C5" t="s">
        <v>33</v>
      </c>
      <c r="D5" t="s">
        <v>34</v>
      </c>
      <c r="E5" t="s">
        <v>49</v>
      </c>
      <c r="F5" t="s">
        <v>50</v>
      </c>
      <c r="G5" t="s">
        <v>51</v>
      </c>
      <c r="H5" t="s">
        <v>48</v>
      </c>
      <c r="I5" t="s">
        <v>52</v>
      </c>
      <c r="J5" t="s">
        <v>53</v>
      </c>
    </row>
    <row r="6" spans="1:10">
      <c r="A6" t="s">
        <v>54</v>
      </c>
      <c r="B6" t="s">
        <v>32</v>
      </c>
      <c r="C6" t="s">
        <v>33</v>
      </c>
      <c r="D6" t="s">
        <v>55</v>
      </c>
      <c r="E6" t="s">
        <v>56</v>
      </c>
      <c r="F6" t="s">
        <v>57</v>
      </c>
      <c r="G6" t="s">
        <v>58</v>
      </c>
      <c r="H6" t="s">
        <v>54</v>
      </c>
      <c r="I6" t="s">
        <v>59</v>
      </c>
      <c r="J6" t="s">
        <v>60</v>
      </c>
    </row>
    <row r="7" spans="1:10">
      <c r="A7" t="s">
        <v>61</v>
      </c>
      <c r="B7" t="s">
        <v>32</v>
      </c>
      <c r="C7" t="s">
        <v>62</v>
      </c>
      <c r="D7" t="s">
        <v>63</v>
      </c>
      <c r="E7" t="s">
        <v>64</v>
      </c>
      <c r="F7" t="s">
        <v>65</v>
      </c>
      <c r="G7" t="s">
        <v>66</v>
      </c>
      <c r="H7" t="s">
        <v>61</v>
      </c>
      <c r="I7" t="s">
        <v>67</v>
      </c>
      <c r="J7" t="s">
        <v>68</v>
      </c>
    </row>
    <row r="8" spans="1:10">
      <c r="A8" t="s">
        <v>69</v>
      </c>
      <c r="B8" t="s">
        <v>32</v>
      </c>
      <c r="C8" t="s">
        <v>33</v>
      </c>
      <c r="D8" t="s">
        <v>70</v>
      </c>
      <c r="E8" t="s">
        <v>71</v>
      </c>
      <c r="F8" t="s">
        <v>72</v>
      </c>
      <c r="G8" t="s">
        <v>73</v>
      </c>
      <c r="H8" t="s">
        <v>69</v>
      </c>
      <c r="I8" t="s">
        <v>74</v>
      </c>
      <c r="J8" t="s">
        <v>75</v>
      </c>
    </row>
    <row r="9" spans="1:10">
      <c r="A9" t="s">
        <v>76</v>
      </c>
      <c r="B9" t="s">
        <v>32</v>
      </c>
      <c r="C9" t="s">
        <v>33</v>
      </c>
      <c r="D9" t="s">
        <v>34</v>
      </c>
      <c r="E9" t="s">
        <v>49</v>
      </c>
      <c r="F9" t="s">
        <v>77</v>
      </c>
      <c r="G9" t="s">
        <v>78</v>
      </c>
      <c r="H9" t="s">
        <v>76</v>
      </c>
      <c r="I9" t="s">
        <v>79</v>
      </c>
      <c r="J9" t="s">
        <v>80</v>
      </c>
    </row>
    <row r="10" spans="1:10">
      <c r="A10" t="s">
        <v>81</v>
      </c>
      <c r="B10" t="s">
        <v>32</v>
      </c>
      <c r="C10" t="s">
        <v>33</v>
      </c>
      <c r="D10" t="s">
        <v>34</v>
      </c>
      <c r="E10" t="s">
        <v>49</v>
      </c>
      <c r="F10" t="s">
        <v>82</v>
      </c>
      <c r="G10" t="s">
        <v>83</v>
      </c>
      <c r="H10" t="s">
        <v>84</v>
      </c>
      <c r="I10" t="s">
        <v>85</v>
      </c>
      <c r="J10" t="s">
        <v>86</v>
      </c>
    </row>
    <row r="11" spans="1:10">
      <c r="A11" t="s">
        <v>87</v>
      </c>
      <c r="B11" t="s">
        <v>32</v>
      </c>
      <c r="C11" t="s">
        <v>33</v>
      </c>
      <c r="D11" t="s">
        <v>34</v>
      </c>
      <c r="E11" t="s">
        <v>49</v>
      </c>
      <c r="F11" t="s">
        <v>88</v>
      </c>
      <c r="G11" t="s">
        <v>89</v>
      </c>
      <c r="H11" t="s">
        <v>87</v>
      </c>
      <c r="I11" t="s">
        <v>90</v>
      </c>
      <c r="J11" t="s">
        <v>91</v>
      </c>
    </row>
    <row r="12" spans="1:10">
      <c r="A12" t="s">
        <v>92</v>
      </c>
      <c r="B12" t="s">
        <v>32</v>
      </c>
      <c r="C12" t="s">
        <v>33</v>
      </c>
      <c r="D12" t="s">
        <v>34</v>
      </c>
      <c r="E12" t="s">
        <v>93</v>
      </c>
      <c r="F12" t="s">
        <v>94</v>
      </c>
      <c r="G12" t="s">
        <v>95</v>
      </c>
      <c r="H12" t="s">
        <v>92</v>
      </c>
      <c r="I12" t="s">
        <v>96</v>
      </c>
      <c r="J12" t="s">
        <v>97</v>
      </c>
    </row>
    <row r="13" spans="1:10">
      <c r="A13" t="s">
        <v>98</v>
      </c>
      <c r="B13" t="s">
        <v>99</v>
      </c>
      <c r="C13" t="s">
        <v>100</v>
      </c>
      <c r="D13" t="s">
        <v>101</v>
      </c>
      <c r="E13" t="s">
        <v>102</v>
      </c>
      <c r="F13" t="s">
        <v>103</v>
      </c>
      <c r="G13" t="s">
        <v>104</v>
      </c>
      <c r="H13" t="s">
        <v>105</v>
      </c>
      <c r="I13" t="s">
        <v>106</v>
      </c>
      <c r="J13" t="s">
        <v>107</v>
      </c>
    </row>
  </sheetData>
  <pageMargins left="0.7" right="0.7" top="0.75" bottom="0.75" header="0.3" footer="0.3"/>
  <tableParts count="1">
    <tablePart r:id="rId1"/>
  </tablePart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ED1ADE-9933-408C-BD0F-F2132C8A9581}">
  <sheetPr codeName="Sheet3">
    <tabColor theme="9"/>
  </sheetPr>
  <dimension ref="A1:M63"/>
  <sheetViews>
    <sheetView topLeftCell="C37" workbookViewId="0">
      <selection activeCell="H20" sqref="H20:I21"/>
    </sheetView>
  </sheetViews>
  <sheetFormatPr defaultColWidth="8.875" defaultRowHeight="16.5"/>
  <cols>
    <col min="1" max="1" width="18.625" bestFit="1" customWidth="1"/>
    <col min="2" max="2" width="10.875" customWidth="1"/>
    <col min="3" max="3" width="23" customWidth="1"/>
    <col min="4" max="4" width="18.5" customWidth="1"/>
    <col min="5" max="5" width="14.5" customWidth="1"/>
    <col min="7" max="7" width="13.5" customWidth="1"/>
    <col min="8" max="8" width="12.625" bestFit="1" customWidth="1"/>
    <col min="9" max="9" width="27.125" bestFit="1" customWidth="1"/>
    <col min="10" max="10" width="12.375" customWidth="1"/>
    <col min="11" max="11" width="27.125" bestFit="1" customWidth="1"/>
    <col min="13" max="13" width="17.125" customWidth="1"/>
    <col min="16" max="16" width="13.5" customWidth="1"/>
  </cols>
  <sheetData>
    <row r="1" spans="1:13">
      <c r="A1" t="s">
        <v>108</v>
      </c>
      <c r="B1" t="s">
        <v>109</v>
      </c>
      <c r="C1" t="s">
        <v>110</v>
      </c>
      <c r="D1" t="s">
        <v>111</v>
      </c>
      <c r="E1" t="s">
        <v>112</v>
      </c>
      <c r="F1" t="s">
        <v>113</v>
      </c>
      <c r="G1" t="s">
        <v>114</v>
      </c>
      <c r="H1" t="s">
        <v>115</v>
      </c>
      <c r="I1" t="s">
        <v>116</v>
      </c>
      <c r="J1" t="s">
        <v>117</v>
      </c>
      <c r="K1" t="s">
        <v>118</v>
      </c>
      <c r="M1" t="s">
        <v>119</v>
      </c>
    </row>
    <row r="2" spans="1:13">
      <c r="A2" t="s">
        <v>120</v>
      </c>
      <c r="B2" t="s">
        <v>121</v>
      </c>
      <c r="C2" t="s">
        <v>122</v>
      </c>
      <c r="D2" t="str">
        <f>_xlfn.XLOOKUP(Tbl_JPod[[#This Row],[Mother]],Tbl_JPod[Name],Tbl_JPod[Mother],"(unknown)")</f>
        <v>(unknown)</v>
      </c>
      <c r="E2" t="s">
        <v>123</v>
      </c>
      <c r="F2" t="s">
        <v>124</v>
      </c>
      <c r="G2">
        <v>1951</v>
      </c>
      <c r="H2">
        <v>2010</v>
      </c>
      <c r="I2" t="str">
        <f>IF(Tbl_JPod[[#This Row],[Death year]]=Tbl_JPod[[#This Row],[Birth year]],Tbl_JPod[[#This Row],[Death year]]&amp;" (infant)",Tbl_JPod[[#This Row],[Birth year]]&amp;" - "&amp;IF(Tbl_JPod[[#This Row],[Death year]]="","present",Tbl_JPod[[#This Row],[Death year]]))</f>
        <v>1951 - 2010</v>
      </c>
      <c r="J2">
        <f>COUNTIF(Tbl_JPod[Mother],Tbl_JPod[[#This Row],[Name]])</f>
        <v>0</v>
      </c>
      <c r="K2" t="str" cm="1">
        <f t="array" ref="K2">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unknown - male orca</v>
      </c>
      <c r="M2" t="s">
        <v>125</v>
      </c>
    </row>
    <row r="3" spans="1:13">
      <c r="A3" t="s">
        <v>126</v>
      </c>
      <c r="B3" t="s">
        <v>127</v>
      </c>
      <c r="C3" t="s">
        <v>128</v>
      </c>
      <c r="D3" t="str">
        <f>_xlfn.XLOOKUP(Tbl_JPod[[#This Row],[Mother]],Tbl_JPod[Name],Tbl_JPod[Mother],"(unknown)")</f>
        <v>(unknown)</v>
      </c>
      <c r="E3" t="s">
        <v>129</v>
      </c>
      <c r="F3" t="s">
        <v>130</v>
      </c>
      <c r="G3">
        <v>1911</v>
      </c>
      <c r="H3">
        <v>2017</v>
      </c>
      <c r="I3" t="str">
        <f>IF(Tbl_JPod[[#This Row],[Death year]]=Tbl_JPod[[#This Row],[Birth year]],Tbl_JPod[[#This Row],[Death year]]&amp;" (infant)",Tbl_JPod[[#This Row],[Birth year]]&amp;" - "&amp;IF(Tbl_JPod[[#This Row],[Death year]]="","present",Tbl_JPod[[#This Row],[Death year]]))</f>
        <v>1911 - 2017</v>
      </c>
      <c r="J3">
        <f>COUNTIF(Tbl_JPod[Mother],Tbl_JPod[[#This Row],[Name]])</f>
        <v>1</v>
      </c>
      <c r="K3" t="str" cm="1">
        <f t="array" ref="K3">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J12 Sissy</v>
      </c>
    </row>
    <row r="4" spans="1:13">
      <c r="A4" t="s">
        <v>131</v>
      </c>
      <c r="B4" t="s">
        <v>121</v>
      </c>
      <c r="C4" t="s">
        <v>132</v>
      </c>
      <c r="D4" t="str">
        <f>_xlfn.XLOOKUP(Tbl_JPod[[#This Row],[Mother]],Tbl_JPod[Name],Tbl_JPod[Mother],"(unknown)")</f>
        <v>(unknown)</v>
      </c>
      <c r="E4" t="s">
        <v>133</v>
      </c>
      <c r="F4" t="s">
        <v>134</v>
      </c>
      <c r="G4">
        <v>1953</v>
      </c>
      <c r="H4">
        <v>1995</v>
      </c>
      <c r="I4" t="str">
        <f>IF(Tbl_JPod[[#This Row],[Death year]]=Tbl_JPod[[#This Row],[Birth year]],Tbl_JPod[[#This Row],[Death year]]&amp;" (infant)",Tbl_JPod[[#This Row],[Birth year]]&amp;" - "&amp;IF(Tbl_JPod[[#This Row],[Death year]]="","present",Tbl_JPod[[#This Row],[Death year]]))</f>
        <v>1953 - 1995</v>
      </c>
      <c r="J4">
        <f>COUNTIF(Tbl_JPod[Mother],Tbl_JPod[[#This Row],[Name]])</f>
        <v>0</v>
      </c>
      <c r="K4" t="str" cm="1">
        <f t="array" ref="K4">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unknown - male orca</v>
      </c>
    </row>
    <row r="5" spans="1:13">
      <c r="A5" t="s">
        <v>135</v>
      </c>
      <c r="B5" t="s">
        <v>127</v>
      </c>
      <c r="C5" t="s">
        <v>128</v>
      </c>
      <c r="D5" t="str">
        <f>_xlfn.XLOOKUP(Tbl_JPod[[#This Row],[Mother]],Tbl_JPod[Name],Tbl_JPod[Mother],"(unknown)")</f>
        <v>(unknown)</v>
      </c>
      <c r="E5" t="s">
        <v>136</v>
      </c>
      <c r="F5" t="s">
        <v>137</v>
      </c>
      <c r="G5">
        <v>1957</v>
      </c>
      <c r="H5">
        <v>1995</v>
      </c>
      <c r="I5" t="str">
        <f>IF(Tbl_JPod[[#This Row],[Death year]]=Tbl_JPod[[#This Row],[Birth year]],Tbl_JPod[[#This Row],[Death year]]&amp;" (infant)",Tbl_JPod[[#This Row],[Birth year]]&amp;" - "&amp;IF(Tbl_JPod[[#This Row],[Death year]]="","present",Tbl_JPod[[#This Row],[Death year]]))</f>
        <v>1957 - 1995</v>
      </c>
      <c r="J5">
        <f>COUNTIF(Tbl_JPod[Mother],Tbl_JPod[[#This Row],[Name]])</f>
        <v>4</v>
      </c>
      <c r="K5" t="str" cm="1">
        <f t="array" ref="K5">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J11 Blossom, J15, J19 Shachi, J21 E.T.</v>
      </c>
    </row>
    <row r="6" spans="1:13">
      <c r="A6" t="s">
        <v>138</v>
      </c>
      <c r="B6" t="s">
        <v>127</v>
      </c>
      <c r="C6" t="s">
        <v>139</v>
      </c>
      <c r="D6" t="str">
        <f>_xlfn.XLOOKUP(Tbl_JPod[[#This Row],[Mother]],Tbl_JPod[Name],Tbl_JPod[Mother],"(unknown)")</f>
        <v>(unknown)</v>
      </c>
      <c r="E6" t="s">
        <v>140</v>
      </c>
      <c r="F6" t="s">
        <v>141</v>
      </c>
      <c r="G6">
        <v>1938</v>
      </c>
      <c r="H6">
        <v>1997</v>
      </c>
      <c r="I6" t="str">
        <f>IF(Tbl_JPod[[#This Row],[Death year]]=Tbl_JPod[[#This Row],[Birth year]],Tbl_JPod[[#This Row],[Death year]]&amp;" (infant)",Tbl_JPod[[#This Row],[Birth year]]&amp;" - "&amp;IF(Tbl_JPod[[#This Row],[Death year]]="","present",Tbl_JPod[[#This Row],[Death year]]))</f>
        <v>1938 - 1997</v>
      </c>
      <c r="J6">
        <f>COUNTIF(Tbl_JPod[Mother],Tbl_JPod[[#This Row],[Name]])</f>
        <v>2</v>
      </c>
      <c r="K6" t="str" cm="1">
        <f t="array" ref="K6">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J13, J17 Princess Angeline</v>
      </c>
    </row>
    <row r="7" spans="1:13">
      <c r="A7" t="s">
        <v>142</v>
      </c>
      <c r="B7" t="s">
        <v>121</v>
      </c>
      <c r="C7" t="s">
        <v>128</v>
      </c>
      <c r="D7" t="str">
        <f>_xlfn.XLOOKUP(Tbl_JPod[[#This Row],[Mother]],Tbl_JPod[Name],Tbl_JPod[Mother],"(unknown)")</f>
        <v>(unknown)</v>
      </c>
      <c r="E7" t="s">
        <v>143</v>
      </c>
      <c r="F7" t="s">
        <v>144</v>
      </c>
      <c r="G7">
        <v>1956</v>
      </c>
      <c r="H7">
        <v>1998</v>
      </c>
      <c r="I7" t="str">
        <f>IF(Tbl_JPod[[#This Row],[Death year]]=Tbl_JPod[[#This Row],[Birth year]],Tbl_JPod[[#This Row],[Death year]]&amp;" (infant)",Tbl_JPod[[#This Row],[Birth year]]&amp;" - "&amp;IF(Tbl_JPod[[#This Row],[Death year]]="","present",Tbl_JPod[[#This Row],[Death year]]))</f>
        <v>1956 - 1998</v>
      </c>
      <c r="J7">
        <f>COUNTIF(Tbl_JPod[Mother],Tbl_JPod[[#This Row],[Name]])</f>
        <v>0</v>
      </c>
      <c r="K7" t="str" cm="1">
        <f t="array" ref="K7">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unknown - male orca</v>
      </c>
    </row>
    <row r="8" spans="1:13">
      <c r="A8" t="s">
        <v>132</v>
      </c>
      <c r="B8" t="s">
        <v>127</v>
      </c>
      <c r="C8" t="s">
        <v>128</v>
      </c>
      <c r="D8" t="str">
        <f>_xlfn.XLOOKUP(Tbl_JPod[[#This Row],[Mother]],Tbl_JPod[Name],Tbl_JPod[Mother],"(unknown)")</f>
        <v>(unknown)</v>
      </c>
      <c r="E8" t="s">
        <v>145</v>
      </c>
      <c r="F8" t="s">
        <v>146</v>
      </c>
      <c r="G8">
        <v>1939</v>
      </c>
      <c r="H8">
        <v>1983</v>
      </c>
      <c r="I8" t="str">
        <f>IF(Tbl_JPod[[#This Row],[Death year]]=Tbl_JPod[[#This Row],[Birth year]],Tbl_JPod[[#This Row],[Death year]]&amp;" (infant)",Tbl_JPod[[#This Row],[Birth year]]&amp;" - "&amp;IF(Tbl_JPod[[#This Row],[Death year]]="","present",Tbl_JPod[[#This Row],[Death year]]))</f>
        <v>1939 - 1983</v>
      </c>
      <c r="J8">
        <f>COUNTIF(Tbl_JPod[Mother],Tbl_JPod[[#This Row],[Name]])</f>
        <v>2</v>
      </c>
      <c r="K8" t="str" cm="1">
        <f t="array" ref="K8">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J3 Merlin, J16 Slick</v>
      </c>
    </row>
    <row r="9" spans="1:13">
      <c r="A9" t="s">
        <v>147</v>
      </c>
      <c r="B9" t="s">
        <v>127</v>
      </c>
      <c r="C9" t="s">
        <v>128</v>
      </c>
      <c r="D9" t="str">
        <f>_xlfn.XLOOKUP(Tbl_JPod[[#This Row],[Mother]],Tbl_JPod[Name],Tbl_JPod[Mother],"(unknown)")</f>
        <v>(unknown)</v>
      </c>
      <c r="E9" t="s">
        <v>148</v>
      </c>
      <c r="F9" t="s">
        <v>149</v>
      </c>
      <c r="G9">
        <v>1933</v>
      </c>
      <c r="H9">
        <v>2013</v>
      </c>
      <c r="I9" t="str">
        <f>IF(Tbl_JPod[[#This Row],[Death year]]=Tbl_JPod[[#This Row],[Birth year]],Tbl_JPod[[#This Row],[Death year]]&amp;" (infant)",Tbl_JPod[[#This Row],[Birth year]]&amp;" - "&amp;IF(Tbl_JPod[[#This Row],[Death year]]="","present",Tbl_JPod[[#This Row],[Death year]]))</f>
        <v>1933 - 2013</v>
      </c>
      <c r="J9">
        <f>COUNTIF(Tbl_JPod[Mother],Tbl_JPod[[#This Row],[Name]])</f>
        <v>0</v>
      </c>
      <c r="K9" t="str" cm="1">
        <f t="array" ref="K9">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none</v>
      </c>
    </row>
    <row r="10" spans="1:13">
      <c r="A10" t="s">
        <v>139</v>
      </c>
      <c r="B10" t="s">
        <v>127</v>
      </c>
      <c r="C10" t="s">
        <v>128</v>
      </c>
      <c r="D10" t="str">
        <f>_xlfn.XLOOKUP(Tbl_JPod[[#This Row],[Mother]],Tbl_JPod[Name],Tbl_JPod[Mother],"(unknown)")</f>
        <v>(unknown)</v>
      </c>
      <c r="E10" t="s">
        <v>150</v>
      </c>
      <c r="F10" t="s">
        <v>151</v>
      </c>
      <c r="G10">
        <v>1917</v>
      </c>
      <c r="H10">
        <v>1985</v>
      </c>
      <c r="I10" t="str">
        <f>IF(Tbl_JPod[[#This Row],[Death year]]=Tbl_JPod[[#This Row],[Birth year]],Tbl_JPod[[#This Row],[Death year]]&amp;" (infant)",Tbl_JPod[[#This Row],[Birth year]]&amp;" - "&amp;IF(Tbl_JPod[[#This Row],[Death year]]="","present",Tbl_JPod[[#This Row],[Death year]]))</f>
        <v>1917 - 1985</v>
      </c>
      <c r="J10">
        <f>COUNTIF(Tbl_JPod[Mother],Tbl_JPod[[#This Row],[Name]])</f>
        <v>2</v>
      </c>
      <c r="K10" t="str" cm="1">
        <f t="array" ref="K10">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J5 Saratoga, J10 Tahoma</v>
      </c>
    </row>
    <row r="11" spans="1:13">
      <c r="A11" t="s">
        <v>152</v>
      </c>
      <c r="B11" t="s">
        <v>127</v>
      </c>
      <c r="C11" t="s">
        <v>139</v>
      </c>
      <c r="D11" t="str">
        <f>_xlfn.XLOOKUP(Tbl_JPod[[#This Row],[Mother]],Tbl_JPod[Name],Tbl_JPod[Mother],"(unknown)")</f>
        <v>(unknown)</v>
      </c>
      <c r="E11" t="s">
        <v>153</v>
      </c>
      <c r="F11" t="s">
        <v>154</v>
      </c>
      <c r="G11">
        <v>1962</v>
      </c>
      <c r="H11">
        <v>1999</v>
      </c>
      <c r="I11" t="str">
        <f>IF(Tbl_JPod[[#This Row],[Death year]]=Tbl_JPod[[#This Row],[Birth year]],Tbl_JPod[[#This Row],[Death year]]&amp;" (infant)",Tbl_JPod[[#This Row],[Birth year]]&amp;" - "&amp;IF(Tbl_JPod[[#This Row],[Death year]]="","present",Tbl_JPod[[#This Row],[Death year]]))</f>
        <v>1962 - 1999</v>
      </c>
      <c r="J11">
        <f>COUNTIF(Tbl_JPod[Mother],Tbl_JPod[[#This Row],[Name]])</f>
        <v>3</v>
      </c>
      <c r="K11" t="str" cm="1">
        <f t="array" ref="K11">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J18 Everett, J20 Ewok, J22 Oreo</v>
      </c>
    </row>
    <row r="12" spans="1:13">
      <c r="A12" t="s">
        <v>155</v>
      </c>
      <c r="B12" t="s">
        <v>127</v>
      </c>
      <c r="C12" t="s">
        <v>135</v>
      </c>
      <c r="D12" t="str">
        <f>_xlfn.XLOOKUP(Tbl_JPod[[#This Row],[Mother]],Tbl_JPod[Name],Tbl_JPod[Mother],"(unknown)")</f>
        <v>(unknown)</v>
      </c>
      <c r="E12" t="s">
        <v>156</v>
      </c>
      <c r="F12" t="s">
        <v>157</v>
      </c>
      <c r="G12">
        <v>1972</v>
      </c>
      <c r="H12">
        <v>2008</v>
      </c>
      <c r="I12" t="str">
        <f>IF(Tbl_JPod[[#This Row],[Death year]]=Tbl_JPod[[#This Row],[Birth year]],Tbl_JPod[[#This Row],[Death year]]&amp;" (infant)",Tbl_JPod[[#This Row],[Birth year]]&amp;" - "&amp;IF(Tbl_JPod[[#This Row],[Death year]]="","present",Tbl_JPod[[#This Row],[Death year]]))</f>
        <v>1972 - 2008</v>
      </c>
      <c r="J12">
        <f>COUNTIF(Tbl_JPod[Mother],Tbl_JPod[[#This Row],[Name]])</f>
        <v>5</v>
      </c>
      <c r="K12" t="str" cm="1">
        <f t="array" ref="K12">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J25 Sheekah, J27 Blackberry, J31 Tsuchi, J39 Mako, J11's calf</v>
      </c>
    </row>
    <row r="13" spans="1:13">
      <c r="A13" t="s">
        <v>158</v>
      </c>
      <c r="B13" t="s">
        <v>127</v>
      </c>
      <c r="C13" t="s">
        <v>126</v>
      </c>
      <c r="D13" t="str">
        <f>_xlfn.XLOOKUP(Tbl_JPod[[#This Row],[Mother]],Tbl_JPod[Name],Tbl_JPod[Mother],"(unknown)")</f>
        <v>(unknown)</v>
      </c>
      <c r="E13" t="s">
        <v>159</v>
      </c>
      <c r="F13" t="s">
        <v>160</v>
      </c>
      <c r="G13">
        <v>1935</v>
      </c>
      <c r="H13">
        <v>1996</v>
      </c>
      <c r="I13" t="str">
        <f>IF(Tbl_JPod[[#This Row],[Death year]]=Tbl_JPod[[#This Row],[Birth year]],Tbl_JPod[[#This Row],[Death year]]&amp;" (infant)",Tbl_JPod[[#This Row],[Birth year]]&amp;" - "&amp;IF(Tbl_JPod[[#This Row],[Death year]]="","present",Tbl_JPod[[#This Row],[Death year]]))</f>
        <v>1935 - 1996</v>
      </c>
      <c r="J13">
        <f>COUNTIF(Tbl_JPod[Mother],Tbl_JPod[[#This Row],[Name]])</f>
        <v>2</v>
      </c>
      <c r="K13" t="str" cm="1">
        <f t="array" ref="K13">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J14 Samish, J24 Eltanin</v>
      </c>
    </row>
    <row r="14" spans="1:13">
      <c r="A14" t="s">
        <v>161</v>
      </c>
      <c r="B14" t="s">
        <v>127</v>
      </c>
      <c r="C14" t="s">
        <v>138</v>
      </c>
      <c r="D14" t="str">
        <f>_xlfn.XLOOKUP(Tbl_JPod[[#This Row],[Mother]],Tbl_JPod[Name],Tbl_JPod[Mother],"(unknown)")</f>
        <v>J9 Neah</v>
      </c>
      <c r="E14" t="s">
        <v>161</v>
      </c>
      <c r="F14" t="s">
        <v>162</v>
      </c>
      <c r="G14">
        <v>1971</v>
      </c>
      <c r="H14">
        <v>1980</v>
      </c>
      <c r="I14" t="str">
        <f>IF(Tbl_JPod[[#This Row],[Death year]]=Tbl_JPod[[#This Row],[Birth year]],Tbl_JPod[[#This Row],[Death year]]&amp;" (infant)",Tbl_JPod[[#This Row],[Birth year]]&amp;" - "&amp;IF(Tbl_JPod[[#This Row],[Death year]]="","present",Tbl_JPod[[#This Row],[Death year]]))</f>
        <v>1971 - 1980</v>
      </c>
      <c r="J14">
        <f>COUNTIF(Tbl_JPod[Mother],Tbl_JPod[[#This Row],[Name]])</f>
        <v>0</v>
      </c>
      <c r="K14" t="str" cm="1">
        <f t="array" ref="K14">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none</v>
      </c>
    </row>
    <row r="15" spans="1:13">
      <c r="A15" t="s">
        <v>163</v>
      </c>
      <c r="B15" t="s">
        <v>127</v>
      </c>
      <c r="C15" t="s">
        <v>158</v>
      </c>
      <c r="D15" t="str">
        <f>_xlfn.XLOOKUP(Tbl_JPod[[#This Row],[Mother]],Tbl_JPod[Name],Tbl_JPod[Mother],"(unknown)")</f>
        <v>J2 Granny</v>
      </c>
      <c r="E15" t="s">
        <v>164</v>
      </c>
      <c r="F15" t="s">
        <v>165</v>
      </c>
      <c r="G15">
        <v>1974</v>
      </c>
      <c r="H15">
        <v>2016</v>
      </c>
      <c r="I15" t="str">
        <f>IF(Tbl_JPod[[#This Row],[Death year]]=Tbl_JPod[[#This Row],[Birth year]],Tbl_JPod[[#This Row],[Death year]]&amp;" (infant)",Tbl_JPod[[#This Row],[Birth year]]&amp;" - "&amp;IF(Tbl_JPod[[#This Row],[Death year]]="","present",Tbl_JPod[[#This Row],[Death year]]))</f>
        <v>1974 - 2016</v>
      </c>
      <c r="J15">
        <f>COUNTIF(Tbl_JPod[Mother],Tbl_JPod[[#This Row],[Name]])</f>
        <v>6</v>
      </c>
      <c r="K15" t="str" cm="1">
        <f t="array" ref="K15">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J23 Capricorn, J30 Riptide, J37 Hy'Shqa, J40 Suttles, J43 Bellatrix, J45 Se-Yi'-Chn</v>
      </c>
    </row>
    <row r="16" spans="1:13">
      <c r="A16" t="s">
        <v>166</v>
      </c>
      <c r="B16" t="s">
        <v>121</v>
      </c>
      <c r="C16" t="s">
        <v>135</v>
      </c>
      <c r="D16" t="str">
        <f>_xlfn.XLOOKUP(Tbl_JPod[[#This Row],[Mother]],Tbl_JPod[Name],Tbl_JPod[Mother],"(unknown)")</f>
        <v>(unknown)</v>
      </c>
      <c r="E16" t="s">
        <v>166</v>
      </c>
      <c r="F16" t="s">
        <v>162</v>
      </c>
      <c r="G16">
        <v>1976</v>
      </c>
      <c r="H16">
        <v>1981</v>
      </c>
      <c r="I16" t="str">
        <f>IF(Tbl_JPod[[#This Row],[Death year]]=Tbl_JPod[[#This Row],[Birth year]],Tbl_JPod[[#This Row],[Death year]]&amp;" (infant)",Tbl_JPod[[#This Row],[Birth year]]&amp;" - "&amp;IF(Tbl_JPod[[#This Row],[Death year]]="","present",Tbl_JPod[[#This Row],[Death year]]))</f>
        <v>1976 - 1981</v>
      </c>
      <c r="J16">
        <f>COUNTIF(Tbl_JPod[Mother],Tbl_JPod[[#This Row],[Name]])</f>
        <v>0</v>
      </c>
      <c r="K16" t="str" cm="1">
        <f t="array" ref="K16">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none</v>
      </c>
    </row>
    <row r="17" spans="1:13">
      <c r="A17" t="s">
        <v>167</v>
      </c>
      <c r="B17" t="s">
        <v>127</v>
      </c>
      <c r="C17" t="s">
        <v>132</v>
      </c>
      <c r="D17" t="str">
        <f>_xlfn.XLOOKUP(Tbl_JPod[[#This Row],[Mother]],Tbl_JPod[Name],Tbl_JPod[Mother],"(unknown)")</f>
        <v>(unknown)</v>
      </c>
      <c r="E17" t="s">
        <v>168</v>
      </c>
      <c r="F17" t="s">
        <v>169</v>
      </c>
      <c r="G17">
        <v>1972</v>
      </c>
      <c r="I17" t="str">
        <f>IF(Tbl_JPod[[#This Row],[Death year]]=Tbl_JPod[[#This Row],[Birth year]],Tbl_JPod[[#This Row],[Death year]]&amp;" (infant)",Tbl_JPod[[#This Row],[Birth year]]&amp;" - "&amp;IF(Tbl_JPod[[#This Row],[Death year]]="","present",Tbl_JPod[[#This Row],[Death year]]))</f>
        <v>1972 - present</v>
      </c>
      <c r="J17">
        <f>COUNTIF(Tbl_JPod[Mother],Tbl_JPod[[#This Row],[Name]])</f>
        <v>6</v>
      </c>
      <c r="K17" t="str" cm="1">
        <f t="array" ref="K17">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J26 Mike, J33 Keet, J36 Alki, J42 Echo, J48 Saiph, J50 Scarlet</v>
      </c>
    </row>
    <row r="18" spans="1:13">
      <c r="A18" t="s">
        <v>170</v>
      </c>
      <c r="B18" t="s">
        <v>127</v>
      </c>
      <c r="C18" t="s">
        <v>138</v>
      </c>
      <c r="D18" t="str">
        <f>_xlfn.XLOOKUP(Tbl_JPod[[#This Row],[Mother]],Tbl_JPod[Name],Tbl_JPod[Mother],"(unknown)")</f>
        <v>J9 Neah</v>
      </c>
      <c r="E18" t="s">
        <v>171</v>
      </c>
      <c r="F18" t="s">
        <v>172</v>
      </c>
      <c r="G18">
        <v>1977</v>
      </c>
      <c r="H18">
        <v>2019</v>
      </c>
      <c r="I18" t="str">
        <f>IF(Tbl_JPod[[#This Row],[Death year]]=Tbl_JPod[[#This Row],[Birth year]],Tbl_JPod[[#This Row],[Death year]]&amp;" (infant)",Tbl_JPod[[#This Row],[Birth year]]&amp;" - "&amp;IF(Tbl_JPod[[#This Row],[Death year]]="","present",Tbl_JPod[[#This Row],[Death year]]))</f>
        <v>1977 - 2019</v>
      </c>
      <c r="J18">
        <f>COUNTIF(Tbl_JPod[Mother],Tbl_JPod[[#This Row],[Name]])</f>
        <v>4</v>
      </c>
      <c r="K18" t="str" cm="1">
        <f t="array" ref="K18">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J28 Polaris, J35 Tahlequah, J44 Moby, J53 Kiki</v>
      </c>
    </row>
    <row r="19" spans="1:13">
      <c r="A19" t="s">
        <v>173</v>
      </c>
      <c r="B19" t="s">
        <v>121</v>
      </c>
      <c r="C19" t="s">
        <v>152</v>
      </c>
      <c r="D19" t="str">
        <f>_xlfn.XLOOKUP(Tbl_JPod[[#This Row],[Mother]],Tbl_JPod[Name],Tbl_JPod[Mother],"(unknown)")</f>
        <v>J9 Neah</v>
      </c>
      <c r="E19" t="s">
        <v>174</v>
      </c>
      <c r="F19" t="s">
        <v>175</v>
      </c>
      <c r="G19">
        <v>1977</v>
      </c>
      <c r="H19">
        <v>2000</v>
      </c>
      <c r="I19" t="str">
        <f>IF(Tbl_JPod[[#This Row],[Death year]]=Tbl_JPod[[#This Row],[Birth year]],Tbl_JPod[[#This Row],[Death year]]&amp;" (infant)",Tbl_JPod[[#This Row],[Birth year]]&amp;" - "&amp;IF(Tbl_JPod[[#This Row],[Death year]]="","present",Tbl_JPod[[#This Row],[Death year]]))</f>
        <v>1977 - 2000</v>
      </c>
      <c r="J19">
        <f>COUNTIF(Tbl_JPod[Mother],Tbl_JPod[[#This Row],[Name]])</f>
        <v>0</v>
      </c>
      <c r="K19" t="str" cm="1">
        <f t="array" ref="K19">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unknown - male orca</v>
      </c>
    </row>
    <row r="20" spans="1:13">
      <c r="A20" t="s">
        <v>176</v>
      </c>
      <c r="B20" t="s">
        <v>127</v>
      </c>
      <c r="C20" t="s">
        <v>135</v>
      </c>
      <c r="D20" t="str">
        <f>_xlfn.XLOOKUP(Tbl_JPod[[#This Row],[Mother]],Tbl_JPod[Name],Tbl_JPod[Mother],"(unknown)")</f>
        <v>(unknown)</v>
      </c>
      <c r="E20" t="s">
        <v>177</v>
      </c>
      <c r="F20" t="s">
        <v>178</v>
      </c>
      <c r="G20">
        <v>1979</v>
      </c>
      <c r="I20" t="str">
        <f>IF(Tbl_JPod[[#This Row],[Death year]]=Tbl_JPod[[#This Row],[Birth year]],Tbl_JPod[[#This Row],[Death year]]&amp;" (infant)",Tbl_JPod[[#This Row],[Birth year]]&amp;" - "&amp;IF(Tbl_JPod[[#This Row],[Death year]]="","present",Tbl_JPod[[#This Row],[Death year]]))</f>
        <v>1979 - present</v>
      </c>
      <c r="J20">
        <f>COUNTIF(Tbl_JPod[Mother],Tbl_JPod[[#This Row],[Name]])</f>
        <v>2</v>
      </c>
      <c r="K20" t="str" cm="1">
        <f t="array" ref="K20">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J29 Rigel, J41 Eclipse</v>
      </c>
    </row>
    <row r="21" spans="1:13">
      <c r="A21" t="s">
        <v>179</v>
      </c>
      <c r="B21" t="s">
        <v>127</v>
      </c>
      <c r="C21" t="s">
        <v>152</v>
      </c>
      <c r="D21" t="str">
        <f>_xlfn.XLOOKUP(Tbl_JPod[[#This Row],[Mother]],Tbl_JPod[Name],Tbl_JPod[Mother],"(unknown)")</f>
        <v>J9 Neah</v>
      </c>
      <c r="E21" t="s">
        <v>180</v>
      </c>
      <c r="F21" t="s">
        <v>181</v>
      </c>
      <c r="G21">
        <v>1981</v>
      </c>
      <c r="H21">
        <v>1998</v>
      </c>
      <c r="I21" t="str">
        <f>IF(Tbl_JPod[[#This Row],[Death year]]=Tbl_JPod[[#This Row],[Birth year]],Tbl_JPod[[#This Row],[Death year]]&amp;" (infant)",Tbl_JPod[[#This Row],[Birth year]]&amp;" - "&amp;IF(Tbl_JPod[[#This Row],[Death year]]="","present",Tbl_JPod[[#This Row],[Death year]]))</f>
        <v>1981 - 1998</v>
      </c>
      <c r="J21">
        <f>COUNTIF(Tbl_JPod[Mother],Tbl_JPod[[#This Row],[Name]])</f>
        <v>1</v>
      </c>
      <c r="K21" t="str" cm="1">
        <f t="array" ref="K21">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J32 Rhapsody</v>
      </c>
      <c r="M21" t="s">
        <v>168</v>
      </c>
    </row>
    <row r="22" spans="1:13">
      <c r="A22" t="s">
        <v>182</v>
      </c>
      <c r="B22" t="s">
        <v>183</v>
      </c>
      <c r="C22" t="s">
        <v>135</v>
      </c>
      <c r="D22" t="str">
        <f>_xlfn.XLOOKUP(Tbl_JPod[[#This Row],[Mother]],Tbl_JPod[Name],Tbl_JPod[Mother],"(unknown)")</f>
        <v>(unknown)</v>
      </c>
      <c r="E22" t="s">
        <v>184</v>
      </c>
      <c r="F22" t="s">
        <v>185</v>
      </c>
      <c r="G22">
        <v>1982</v>
      </c>
      <c r="H22">
        <v>1983</v>
      </c>
      <c r="I22" t="str">
        <f>IF(Tbl_JPod[[#This Row],[Death year]]=Tbl_JPod[[#This Row],[Birth year]],Tbl_JPod[[#This Row],[Death year]]&amp;" (infant)",Tbl_JPod[[#This Row],[Birth year]]&amp;" - "&amp;IF(Tbl_JPod[[#This Row],[Death year]]="","present",Tbl_JPod[[#This Row],[Death year]]))</f>
        <v>1982 - 1983</v>
      </c>
      <c r="J22">
        <f>COUNTIF(Tbl_JPod[Mother],Tbl_JPod[[#This Row],[Name]])</f>
        <v>0</v>
      </c>
      <c r="K22" t="str" cm="1">
        <f t="array" ref="K22">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none</v>
      </c>
    </row>
    <row r="23" spans="1:13">
      <c r="A23" t="s">
        <v>186</v>
      </c>
      <c r="B23" t="s">
        <v>127</v>
      </c>
      <c r="C23" t="s">
        <v>152</v>
      </c>
      <c r="D23" t="str">
        <f>_xlfn.XLOOKUP(Tbl_JPod[[#This Row],[Mother]],Tbl_JPod[Name],Tbl_JPod[Mother],"(unknown)")</f>
        <v>J9 Neah</v>
      </c>
      <c r="E23" t="s">
        <v>187</v>
      </c>
      <c r="F23" t="s">
        <v>188</v>
      </c>
      <c r="G23">
        <v>1985</v>
      </c>
      <c r="I23" t="str">
        <f>IF(Tbl_JPod[[#This Row],[Death year]]=Tbl_JPod[[#This Row],[Birth year]],Tbl_JPod[[#This Row],[Death year]]&amp;" (infant)",Tbl_JPod[[#This Row],[Birth year]]&amp;" - "&amp;IF(Tbl_JPod[[#This Row],[Death year]]="","present",Tbl_JPod[[#This Row],[Death year]]))</f>
        <v>1985 - present</v>
      </c>
      <c r="J23">
        <f>COUNTIF(Tbl_JPod[Mother],Tbl_JPod[[#This Row],[Name]])</f>
        <v>2</v>
      </c>
      <c r="K23" t="str" cm="1">
        <f t="array" ref="K23">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J34 Doublestuf, J38 Cookie</v>
      </c>
    </row>
    <row r="24" spans="1:13">
      <c r="A24" t="s">
        <v>189</v>
      </c>
      <c r="B24" t="s">
        <v>121</v>
      </c>
      <c r="C24" t="s">
        <v>163</v>
      </c>
      <c r="D24" t="str">
        <f>_xlfn.XLOOKUP(Tbl_JPod[[#This Row],[Mother]],Tbl_JPod[Name],Tbl_JPod[Mother],"(unknown)")</f>
        <v>J12 Sissy</v>
      </c>
      <c r="E24" t="s">
        <v>190</v>
      </c>
      <c r="F24" t="s">
        <v>191</v>
      </c>
      <c r="G24">
        <v>1987</v>
      </c>
      <c r="H24">
        <v>1991</v>
      </c>
      <c r="I24" t="str">
        <f>IF(Tbl_JPod[[#This Row],[Death year]]=Tbl_JPod[[#This Row],[Birth year]],Tbl_JPod[[#This Row],[Death year]]&amp;" (infant)",Tbl_JPod[[#This Row],[Birth year]]&amp;" - "&amp;IF(Tbl_JPod[[#This Row],[Death year]]="","present",Tbl_JPod[[#This Row],[Death year]]))</f>
        <v>1987 - 1991</v>
      </c>
      <c r="J24">
        <f>COUNTIF(Tbl_JPod[Mother],Tbl_JPod[[#This Row],[Name]])</f>
        <v>0</v>
      </c>
      <c r="K24" t="str" cm="1">
        <f t="array" ref="K24">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none</v>
      </c>
      <c r="M24" t="s">
        <v>136</v>
      </c>
    </row>
    <row r="25" spans="1:13">
      <c r="A25" t="s">
        <v>192</v>
      </c>
      <c r="B25" t="s">
        <v>121</v>
      </c>
      <c r="C25" t="s">
        <v>158</v>
      </c>
      <c r="D25" t="str">
        <f>_xlfn.XLOOKUP(Tbl_JPod[[#This Row],[Mother]],Tbl_JPod[Name],Tbl_JPod[Mother],"(unknown)")</f>
        <v>J2 Granny</v>
      </c>
      <c r="E25" t="s">
        <v>193</v>
      </c>
      <c r="F25" t="s">
        <v>194</v>
      </c>
      <c r="G25">
        <v>1970</v>
      </c>
      <c r="H25">
        <v>1974</v>
      </c>
      <c r="I25" t="str">
        <f>IF(Tbl_JPod[[#This Row],[Death year]]=Tbl_JPod[[#This Row],[Birth year]],Tbl_JPod[[#This Row],[Death year]]&amp;" (infant)",Tbl_JPod[[#This Row],[Birth year]]&amp;" - "&amp;IF(Tbl_JPod[[#This Row],[Death year]]="","present",Tbl_JPod[[#This Row],[Death year]]))</f>
        <v>1970 - 1974</v>
      </c>
      <c r="J25">
        <f>COUNTIF(Tbl_JPod[Mother],Tbl_JPod[[#This Row],[Name]])</f>
        <v>0</v>
      </c>
      <c r="K25" t="str" cm="1">
        <f t="array" ref="K25">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none</v>
      </c>
    </row>
    <row r="26" spans="1:13">
      <c r="A26" t="s">
        <v>195</v>
      </c>
      <c r="B26" t="s">
        <v>183</v>
      </c>
      <c r="C26" t="s">
        <v>155</v>
      </c>
      <c r="D26" t="str">
        <f>_xlfn.XLOOKUP(Tbl_JPod[[#This Row],[Mother]],Tbl_JPod[Name],Tbl_JPod[Mother],"(unknown)")</f>
        <v>J4 Mama</v>
      </c>
      <c r="E26" t="s">
        <v>196</v>
      </c>
      <c r="F26" t="s">
        <v>197</v>
      </c>
      <c r="G26">
        <v>1988</v>
      </c>
      <c r="H26">
        <v>1988</v>
      </c>
      <c r="I26" t="str">
        <f>IF(Tbl_JPod[[#This Row],[Death year]]=Tbl_JPod[[#This Row],[Birth year]],Tbl_JPod[[#This Row],[Death year]]&amp;" (infant)",Tbl_JPod[[#This Row],[Birth year]]&amp;" - "&amp;IF(Tbl_JPod[[#This Row],[Death year]]="","present",Tbl_JPod[[#This Row],[Death year]]))</f>
        <v>1988 (infant)</v>
      </c>
      <c r="J26">
        <f>COUNTIF(Tbl_JPod[Mother],Tbl_JPod[[#This Row],[Name]])</f>
        <v>0</v>
      </c>
      <c r="K26" t="str" cm="1">
        <f t="array" ref="K26">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none</v>
      </c>
    </row>
    <row r="27" spans="1:13">
      <c r="A27" t="s">
        <v>198</v>
      </c>
      <c r="B27" t="s">
        <v>121</v>
      </c>
      <c r="C27" t="s">
        <v>167</v>
      </c>
      <c r="D27" t="str">
        <f>_xlfn.XLOOKUP(Tbl_JPod[[#This Row],[Mother]],Tbl_JPod[Name],Tbl_JPod[Mother],"(unknown)")</f>
        <v>J7 Sucia</v>
      </c>
      <c r="E27" t="s">
        <v>199</v>
      </c>
      <c r="F27" t="s">
        <v>200</v>
      </c>
      <c r="G27">
        <v>1991</v>
      </c>
      <c r="I27" t="str">
        <f>IF(Tbl_JPod[[#This Row],[Death year]]=Tbl_JPod[[#This Row],[Birth year]],Tbl_JPod[[#This Row],[Death year]]&amp;" (infant)",Tbl_JPod[[#This Row],[Birth year]]&amp;" - "&amp;IF(Tbl_JPod[[#This Row],[Death year]]="","present",Tbl_JPod[[#This Row],[Death year]]))</f>
        <v>1991 - present</v>
      </c>
      <c r="J27">
        <f>COUNTIF(Tbl_JPod[Mother],Tbl_JPod[[#This Row],[Name]])</f>
        <v>0</v>
      </c>
      <c r="K27" t="str" cm="1">
        <f t="array" ref="K27">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unknown - male orca</v>
      </c>
      <c r="M27" t="s">
        <v>153</v>
      </c>
    </row>
    <row r="28" spans="1:13">
      <c r="A28" t="s">
        <v>201</v>
      </c>
      <c r="B28" t="s">
        <v>121</v>
      </c>
      <c r="C28" t="s">
        <v>155</v>
      </c>
      <c r="D28" t="str">
        <f>_xlfn.XLOOKUP(Tbl_JPod[[#This Row],[Mother]],Tbl_JPod[Name],Tbl_JPod[Mother],"(unknown)")</f>
        <v>J4 Mama</v>
      </c>
      <c r="E28" t="s">
        <v>202</v>
      </c>
      <c r="F28" t="s">
        <v>203</v>
      </c>
      <c r="G28">
        <v>1991</v>
      </c>
      <c r="I28" t="str">
        <f>IF(Tbl_JPod[[#This Row],[Death year]]=Tbl_JPod[[#This Row],[Birth year]],Tbl_JPod[[#This Row],[Death year]]&amp;" (infant)",Tbl_JPod[[#This Row],[Birth year]]&amp;" - "&amp;IF(Tbl_JPod[[#This Row],[Death year]]="","present",Tbl_JPod[[#This Row],[Death year]]))</f>
        <v>1991 - present</v>
      </c>
      <c r="J28">
        <f>COUNTIF(Tbl_JPod[Mother],Tbl_JPod[[#This Row],[Name]])</f>
        <v>0</v>
      </c>
      <c r="K28" t="str" cm="1">
        <f t="array" ref="K28">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unknown - male orca</v>
      </c>
    </row>
    <row r="29" spans="1:13">
      <c r="A29" t="s">
        <v>204</v>
      </c>
      <c r="B29" t="s">
        <v>127</v>
      </c>
      <c r="C29" t="s">
        <v>170</v>
      </c>
      <c r="D29" t="str">
        <f>_xlfn.XLOOKUP(Tbl_JPod[[#This Row],[Mother]],Tbl_JPod[Name],Tbl_JPod[Mother],"(unknown)")</f>
        <v>J5 Saratoga</v>
      </c>
      <c r="E29" t="s">
        <v>205</v>
      </c>
      <c r="F29" t="s">
        <v>206</v>
      </c>
      <c r="G29">
        <v>1992</v>
      </c>
      <c r="H29">
        <v>2016</v>
      </c>
      <c r="I29" t="str">
        <f>IF(Tbl_JPod[[#This Row],[Death year]]=Tbl_JPod[[#This Row],[Birth year]],Tbl_JPod[[#This Row],[Death year]]&amp;" (infant)",Tbl_JPod[[#This Row],[Birth year]]&amp;" - "&amp;IF(Tbl_JPod[[#This Row],[Death year]]="","present",Tbl_JPod[[#This Row],[Death year]]))</f>
        <v>1992 - 2016</v>
      </c>
      <c r="J29">
        <f>COUNTIF(Tbl_JPod[Mother],Tbl_JPod[[#This Row],[Name]])</f>
        <v>3</v>
      </c>
      <c r="K29" t="str" cm="1">
        <f t="array" ref="K29">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J46 Star, J54 Dipper, J28's calf</v>
      </c>
    </row>
    <row r="30" spans="1:13">
      <c r="A30" t="s">
        <v>207</v>
      </c>
      <c r="B30" t="s">
        <v>121</v>
      </c>
      <c r="C30" t="s">
        <v>176</v>
      </c>
      <c r="D30" t="str">
        <f>_xlfn.XLOOKUP(Tbl_JPod[[#This Row],[Mother]],Tbl_JPod[Name],Tbl_JPod[Mother],"(unknown)")</f>
        <v>J4 Mama</v>
      </c>
      <c r="E30" t="s">
        <v>208</v>
      </c>
      <c r="F30" t="s">
        <v>209</v>
      </c>
      <c r="G30">
        <v>1993</v>
      </c>
      <c r="H30">
        <v>1993</v>
      </c>
      <c r="I30" t="str">
        <f>IF(Tbl_JPod[[#This Row],[Death year]]=Tbl_JPod[[#This Row],[Birth year]],Tbl_JPod[[#This Row],[Death year]]&amp;" (infant)",Tbl_JPod[[#This Row],[Birth year]]&amp;" - "&amp;IF(Tbl_JPod[[#This Row],[Death year]]="","present",Tbl_JPod[[#This Row],[Death year]]))</f>
        <v>1993 (infant)</v>
      </c>
      <c r="J30">
        <f>COUNTIF(Tbl_JPod[Mother],Tbl_JPod[[#This Row],[Name]])</f>
        <v>0</v>
      </c>
      <c r="K30" t="str" cm="1">
        <f t="array" ref="K30">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none</v>
      </c>
    </row>
    <row r="31" spans="1:13">
      <c r="A31" t="s">
        <v>210</v>
      </c>
      <c r="B31" t="s">
        <v>121</v>
      </c>
      <c r="C31" t="s">
        <v>163</v>
      </c>
      <c r="D31" t="str">
        <f>_xlfn.XLOOKUP(Tbl_JPod[[#This Row],[Mother]],Tbl_JPod[Name],Tbl_JPod[Mother],"(unknown)")</f>
        <v>J12 Sissy</v>
      </c>
      <c r="E31" t="s">
        <v>211</v>
      </c>
      <c r="F31" t="s">
        <v>212</v>
      </c>
      <c r="G31">
        <v>1995</v>
      </c>
      <c r="H31">
        <v>2012</v>
      </c>
      <c r="I31" t="str">
        <f>IF(Tbl_JPod[[#This Row],[Death year]]=Tbl_JPod[[#This Row],[Birth year]],Tbl_JPod[[#This Row],[Death year]]&amp;" (infant)",Tbl_JPod[[#This Row],[Birth year]]&amp;" - "&amp;IF(Tbl_JPod[[#This Row],[Death year]]="","present",Tbl_JPod[[#This Row],[Death year]]))</f>
        <v>1995 - 2012</v>
      </c>
      <c r="J31">
        <f>COUNTIF(Tbl_JPod[Mother],Tbl_JPod[[#This Row],[Name]])</f>
        <v>0</v>
      </c>
      <c r="K31" t="str" cm="1">
        <f t="array" ref="K31">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unknown - male orca</v>
      </c>
    </row>
    <row r="32" spans="1:13">
      <c r="A32" t="s">
        <v>213</v>
      </c>
      <c r="B32" t="s">
        <v>127</v>
      </c>
      <c r="C32" t="s">
        <v>155</v>
      </c>
      <c r="D32" t="str">
        <f>_xlfn.XLOOKUP(Tbl_JPod[[#This Row],[Mother]],Tbl_JPod[Name],Tbl_JPod[Mother],"(unknown)")</f>
        <v>J4 Mama</v>
      </c>
      <c r="E32" t="s">
        <v>214</v>
      </c>
      <c r="F32" t="s">
        <v>215</v>
      </c>
      <c r="G32">
        <v>1995</v>
      </c>
      <c r="I32" t="str">
        <f>IF(Tbl_JPod[[#This Row],[Death year]]=Tbl_JPod[[#This Row],[Birth year]],Tbl_JPod[[#This Row],[Death year]]&amp;" (infant)",Tbl_JPod[[#This Row],[Birth year]]&amp;" - "&amp;IF(Tbl_JPod[[#This Row],[Death year]]="","present",Tbl_JPod[[#This Row],[Death year]]))</f>
        <v>1995 - present</v>
      </c>
      <c r="J32">
        <f>COUNTIF(Tbl_JPod[Mother],Tbl_JPod[[#This Row],[Name]])</f>
        <v>2</v>
      </c>
      <c r="K32" t="str" cm="1">
        <f t="array" ref="K32">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J56 Tofino, J31's calf</v>
      </c>
    </row>
    <row r="33" spans="1:13">
      <c r="A33" t="s">
        <v>216</v>
      </c>
      <c r="B33" t="s">
        <v>127</v>
      </c>
      <c r="C33" t="s">
        <v>179</v>
      </c>
      <c r="D33" t="str">
        <f>_xlfn.XLOOKUP(Tbl_JPod[[#This Row],[Mother]],Tbl_JPod[Name],Tbl_JPod[Mother],"(unknown)")</f>
        <v>J10 Tahoma</v>
      </c>
      <c r="E33" t="s">
        <v>217</v>
      </c>
      <c r="F33" t="s">
        <v>218</v>
      </c>
      <c r="G33">
        <v>1996</v>
      </c>
      <c r="H33">
        <v>2014</v>
      </c>
      <c r="I33" t="str">
        <f>IF(Tbl_JPod[[#This Row],[Death year]]=Tbl_JPod[[#This Row],[Birth year]],Tbl_JPod[[#This Row],[Death year]]&amp;" (infant)",Tbl_JPod[[#This Row],[Birth year]]&amp;" - "&amp;IF(Tbl_JPod[[#This Row],[Death year]]="","present",Tbl_JPod[[#This Row],[Death year]]))</f>
        <v>1996 - 2014</v>
      </c>
      <c r="J33">
        <f>COUNTIF(Tbl_JPod[Mother],Tbl_JPod[[#This Row],[Name]])</f>
        <v>0</v>
      </c>
      <c r="K33" t="str" cm="1">
        <f t="array" ref="K33">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none</v>
      </c>
    </row>
    <row r="34" spans="1:13">
      <c r="A34" t="s">
        <v>219</v>
      </c>
      <c r="B34" t="s">
        <v>121</v>
      </c>
      <c r="C34" t="s">
        <v>167</v>
      </c>
      <c r="D34" t="str">
        <f>_xlfn.XLOOKUP(Tbl_JPod[[#This Row],[Mother]],Tbl_JPod[Name],Tbl_JPod[Mother],"(unknown)")</f>
        <v>J7 Sucia</v>
      </c>
      <c r="E34" t="s">
        <v>220</v>
      </c>
      <c r="F34" t="s">
        <v>221</v>
      </c>
      <c r="G34">
        <v>1996</v>
      </c>
      <c r="H34">
        <v>2010</v>
      </c>
      <c r="I34" t="str">
        <f>IF(Tbl_JPod[[#This Row],[Death year]]=Tbl_JPod[[#This Row],[Birth year]],Tbl_JPod[[#This Row],[Death year]]&amp;" (infant)",Tbl_JPod[[#This Row],[Birth year]]&amp;" - "&amp;IF(Tbl_JPod[[#This Row],[Death year]]="","present",Tbl_JPod[[#This Row],[Death year]]))</f>
        <v>1996 - 2010</v>
      </c>
      <c r="J34">
        <f>COUNTIF(Tbl_JPod[Mother],Tbl_JPod[[#This Row],[Name]])</f>
        <v>0</v>
      </c>
      <c r="K34" t="str" cm="1">
        <f t="array" ref="K34">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unknown - male orca</v>
      </c>
    </row>
    <row r="35" spans="1:13">
      <c r="A35" t="s">
        <v>222</v>
      </c>
      <c r="B35" t="s">
        <v>121</v>
      </c>
      <c r="C35" t="s">
        <v>186</v>
      </c>
      <c r="D35" t="str">
        <f>_xlfn.XLOOKUP(Tbl_JPod[[#This Row],[Mother]],Tbl_JPod[Name],Tbl_JPod[Mother],"(unknown)")</f>
        <v>J10 Tahoma</v>
      </c>
      <c r="E35" t="s">
        <v>223</v>
      </c>
      <c r="F35" t="s">
        <v>224</v>
      </c>
      <c r="G35">
        <v>1998</v>
      </c>
      <c r="H35">
        <v>2016</v>
      </c>
      <c r="I35" t="str">
        <f>IF(Tbl_JPod[[#This Row],[Death year]]=Tbl_JPod[[#This Row],[Birth year]],Tbl_JPod[[#This Row],[Death year]]&amp;" (infant)",Tbl_JPod[[#This Row],[Birth year]]&amp;" - "&amp;IF(Tbl_JPod[[#This Row],[Death year]]="","present",Tbl_JPod[[#This Row],[Death year]]))</f>
        <v>1998 - 2016</v>
      </c>
      <c r="J35">
        <f>COUNTIF(Tbl_JPod[Mother],Tbl_JPod[[#This Row],[Name]])</f>
        <v>0</v>
      </c>
      <c r="K35" t="str" cm="1">
        <f t="array" ref="K35">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unknown - male orca</v>
      </c>
    </row>
    <row r="36" spans="1:13">
      <c r="A36" t="s">
        <v>225</v>
      </c>
      <c r="B36" t="s">
        <v>127</v>
      </c>
      <c r="C36" t="s">
        <v>170</v>
      </c>
      <c r="D36" t="str">
        <f>_xlfn.XLOOKUP(Tbl_JPod[[#This Row],[Mother]],Tbl_JPod[Name],Tbl_JPod[Mother],"(unknown)")</f>
        <v>J5 Saratoga</v>
      </c>
      <c r="E36" t="s">
        <v>226</v>
      </c>
      <c r="F36" t="s">
        <v>227</v>
      </c>
      <c r="G36">
        <v>1998</v>
      </c>
      <c r="I36" t="str">
        <f>IF(Tbl_JPod[[#This Row],[Death year]]=Tbl_JPod[[#This Row],[Birth year]],Tbl_JPod[[#This Row],[Death year]]&amp;" (infant)",Tbl_JPod[[#This Row],[Birth year]]&amp;" - "&amp;IF(Tbl_JPod[[#This Row],[Death year]]="","present",Tbl_JPod[[#This Row],[Death year]]))</f>
        <v>1998 - present</v>
      </c>
      <c r="J36">
        <f>COUNTIF(Tbl_JPod[Mother],Tbl_JPod[[#This Row],[Name]])</f>
        <v>3</v>
      </c>
      <c r="K36" t="str" cm="1">
        <f t="array" ref="K36">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J47 Notch, J57 Phoenix, J35's calf</v>
      </c>
      <c r="M36" t="s">
        <v>136</v>
      </c>
    </row>
    <row r="37" spans="1:13">
      <c r="A37" t="s">
        <v>228</v>
      </c>
      <c r="B37" t="s">
        <v>127</v>
      </c>
      <c r="C37" t="s">
        <v>167</v>
      </c>
      <c r="D37" t="str">
        <f>_xlfn.XLOOKUP(Tbl_JPod[[#This Row],[Mother]],Tbl_JPod[Name],Tbl_JPod[Mother],"(unknown)")</f>
        <v>J7 Sucia</v>
      </c>
      <c r="E37" t="s">
        <v>229</v>
      </c>
      <c r="F37" t="s">
        <v>230</v>
      </c>
      <c r="G37">
        <v>1999</v>
      </c>
      <c r="I37" t="str">
        <f>IF(Tbl_JPod[[#This Row],[Death year]]=Tbl_JPod[[#This Row],[Birth year]],Tbl_JPod[[#This Row],[Death year]]&amp;" (infant)",Tbl_JPod[[#This Row],[Birth year]]&amp;" - "&amp;IF(Tbl_JPod[[#This Row],[Death year]]="","present",Tbl_JPod[[#This Row],[Death year]]))</f>
        <v>1999 - present</v>
      </c>
      <c r="J37">
        <f>COUNTIF(Tbl_JPod[Mother],Tbl_JPod[[#This Row],[Name]])</f>
        <v>1</v>
      </c>
      <c r="K37" t="str" cm="1">
        <f t="array" ref="K37">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J52 Sonic</v>
      </c>
    </row>
    <row r="38" spans="1:13">
      <c r="A38" t="s">
        <v>231</v>
      </c>
      <c r="B38" t="s">
        <v>127</v>
      </c>
      <c r="C38" t="s">
        <v>163</v>
      </c>
      <c r="D38" t="str">
        <f>_xlfn.XLOOKUP(Tbl_JPod[[#This Row],[Mother]],Tbl_JPod[Name],Tbl_JPod[Mother],"(unknown)")</f>
        <v>J12 Sissy</v>
      </c>
      <c r="E38" t="s">
        <v>232</v>
      </c>
      <c r="F38" t="s">
        <v>233</v>
      </c>
      <c r="G38">
        <v>2001</v>
      </c>
      <c r="I38" t="str">
        <f>IF(Tbl_JPod[[#This Row],[Death year]]=Tbl_JPod[[#This Row],[Birth year]],Tbl_JPod[[#This Row],[Death year]]&amp;" (infant)",Tbl_JPod[[#This Row],[Birth year]]&amp;" - "&amp;IF(Tbl_JPod[[#This Row],[Death year]]="","present",Tbl_JPod[[#This Row],[Death year]]))</f>
        <v>2001 - present</v>
      </c>
      <c r="J38">
        <f>COUNTIF(Tbl_JPod[Mother],Tbl_JPod[[#This Row],[Name]])</f>
        <v>2</v>
      </c>
      <c r="K38" t="str" cm="1">
        <f t="array" ref="K38">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J49 T'ilem I'nges, J55 Betel</v>
      </c>
    </row>
    <row r="39" spans="1:13">
      <c r="A39" t="s">
        <v>234</v>
      </c>
      <c r="B39" t="s">
        <v>121</v>
      </c>
      <c r="C39" t="s">
        <v>186</v>
      </c>
      <c r="D39" t="str">
        <f>_xlfn.XLOOKUP(Tbl_JPod[[#This Row],[Mother]],Tbl_JPod[Name],Tbl_JPod[Mother],"(unknown)")</f>
        <v>J10 Tahoma</v>
      </c>
      <c r="E39" t="s">
        <v>235</v>
      </c>
      <c r="F39" t="s">
        <v>236</v>
      </c>
      <c r="G39">
        <v>2003</v>
      </c>
      <c r="I39" t="str">
        <f>IF(Tbl_JPod[[#This Row],[Death year]]=Tbl_JPod[[#This Row],[Birth year]],Tbl_JPod[[#This Row],[Death year]]&amp;" (infant)",Tbl_JPod[[#This Row],[Birth year]]&amp;" - "&amp;IF(Tbl_JPod[[#This Row],[Death year]]="","present",Tbl_JPod[[#This Row],[Death year]]))</f>
        <v>2003 - present</v>
      </c>
      <c r="J39">
        <f>COUNTIF(Tbl_JPod[Mother],Tbl_JPod[[#This Row],[Name]])</f>
        <v>0</v>
      </c>
      <c r="K39" t="str" cm="1">
        <f t="array" ref="K39">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unknown - male orca</v>
      </c>
    </row>
    <row r="40" spans="1:13">
      <c r="A40" t="s">
        <v>237</v>
      </c>
      <c r="B40" t="s">
        <v>121</v>
      </c>
      <c r="C40" t="s">
        <v>155</v>
      </c>
      <c r="D40" t="str">
        <f>_xlfn.XLOOKUP(Tbl_JPod[[#This Row],[Mother]],Tbl_JPod[Name],Tbl_JPod[Mother],"(unknown)")</f>
        <v>J4 Mama</v>
      </c>
      <c r="E40" t="s">
        <v>238</v>
      </c>
      <c r="F40" t="s">
        <v>239</v>
      </c>
      <c r="G40">
        <v>2003</v>
      </c>
      <c r="I40" t="str">
        <f>IF(Tbl_JPod[[#This Row],[Death year]]=Tbl_JPod[[#This Row],[Birth year]],Tbl_JPod[[#This Row],[Death year]]&amp;" (infant)",Tbl_JPod[[#This Row],[Birth year]]&amp;" - "&amp;IF(Tbl_JPod[[#This Row],[Death year]]="","present",Tbl_JPod[[#This Row],[Death year]]))</f>
        <v>2003 - present</v>
      </c>
      <c r="J40">
        <f>COUNTIF(Tbl_JPod[Mother],Tbl_JPod[[#This Row],[Name]])</f>
        <v>0</v>
      </c>
      <c r="K40" t="str" cm="1">
        <f t="array" ref="K40">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unknown - male orca</v>
      </c>
      <c r="M40" t="s">
        <v>171</v>
      </c>
    </row>
    <row r="41" spans="1:13">
      <c r="A41" t="s">
        <v>240</v>
      </c>
      <c r="B41" t="s">
        <v>127</v>
      </c>
      <c r="C41" t="s">
        <v>163</v>
      </c>
      <c r="D41" t="str">
        <f>_xlfn.XLOOKUP(Tbl_JPod[[#This Row],[Mother]],Tbl_JPod[Name],Tbl_JPod[Mother],"(unknown)")</f>
        <v>J12 Sissy</v>
      </c>
      <c r="E41" t="s">
        <v>241</v>
      </c>
      <c r="F41" t="s">
        <v>242</v>
      </c>
      <c r="G41">
        <v>2004</v>
      </c>
      <c r="I41" t="str">
        <f>IF(Tbl_JPod[[#This Row],[Death year]]=Tbl_JPod[[#This Row],[Birth year]],Tbl_JPod[[#This Row],[Death year]]&amp;" (infant)",Tbl_JPod[[#This Row],[Birth year]]&amp;" - "&amp;IF(Tbl_JPod[[#This Row],[Death year]]="","present",Tbl_JPod[[#This Row],[Death year]]))</f>
        <v>2004 - present</v>
      </c>
      <c r="J41">
        <f>COUNTIF(Tbl_JPod[Mother],Tbl_JPod[[#This Row],[Name]])</f>
        <v>0</v>
      </c>
      <c r="K41" t="str" cm="1">
        <f t="array" ref="K41">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none</v>
      </c>
      <c r="M41" t="s">
        <v>168</v>
      </c>
    </row>
    <row r="42" spans="1:13">
      <c r="A42" t="s">
        <v>243</v>
      </c>
      <c r="B42" t="s">
        <v>127</v>
      </c>
      <c r="C42" t="s">
        <v>176</v>
      </c>
      <c r="D42" t="str">
        <f>_xlfn.XLOOKUP(Tbl_JPod[[#This Row],[Mother]],Tbl_JPod[Name],Tbl_JPod[Mother],"(unknown)")</f>
        <v>J4 Mama</v>
      </c>
      <c r="E42" t="s">
        <v>244</v>
      </c>
      <c r="F42" t="s">
        <v>245</v>
      </c>
      <c r="G42">
        <v>2005</v>
      </c>
      <c r="I42" t="str">
        <f>IF(Tbl_JPod[[#This Row],[Death year]]=Tbl_JPod[[#This Row],[Birth year]],Tbl_JPod[[#This Row],[Death year]]&amp;" (infant)",Tbl_JPod[[#This Row],[Birth year]]&amp;" - "&amp;IF(Tbl_JPod[[#This Row],[Death year]]="","present",Tbl_JPod[[#This Row],[Death year]]))</f>
        <v>2005 - present</v>
      </c>
      <c r="J42">
        <f>COUNTIF(Tbl_JPod[Mother],Tbl_JPod[[#This Row],[Name]])</f>
        <v>2</v>
      </c>
      <c r="K42" t="str" cm="1">
        <f t="array" ref="K42">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J51 Nova, J58 Crescent</v>
      </c>
      <c r="M42" t="s">
        <v>164</v>
      </c>
    </row>
    <row r="43" spans="1:13">
      <c r="A43" t="s">
        <v>246</v>
      </c>
      <c r="B43" t="s">
        <v>127</v>
      </c>
      <c r="C43" t="s">
        <v>167</v>
      </c>
      <c r="D43" t="str">
        <f>_xlfn.XLOOKUP(Tbl_JPod[[#This Row],[Mother]],Tbl_JPod[Name],Tbl_JPod[Mother],"(unknown)")</f>
        <v>J7 Sucia</v>
      </c>
      <c r="E43" t="s">
        <v>247</v>
      </c>
      <c r="F43" t="s">
        <v>248</v>
      </c>
      <c r="G43">
        <v>2007</v>
      </c>
      <c r="I43" t="str">
        <f>IF(Tbl_JPod[[#This Row],[Death year]]=Tbl_JPod[[#This Row],[Birth year]],Tbl_JPod[[#This Row],[Death year]]&amp;" (infant)",Tbl_JPod[[#This Row],[Birth year]]&amp;" - "&amp;IF(Tbl_JPod[[#This Row],[Death year]]="","present",Tbl_JPod[[#This Row],[Death year]]))</f>
        <v>2007 - present</v>
      </c>
      <c r="J43">
        <f>COUNTIF(Tbl_JPod[Mother],Tbl_JPod[[#This Row],[Name]])</f>
        <v>0</v>
      </c>
      <c r="K43" t="str" cm="1">
        <f t="array" ref="K43">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none</v>
      </c>
    </row>
    <row r="44" spans="1:13">
      <c r="A44" t="s">
        <v>249</v>
      </c>
      <c r="B44" t="s">
        <v>183</v>
      </c>
      <c r="C44" t="s">
        <v>163</v>
      </c>
      <c r="D44" t="str">
        <f>_xlfn.XLOOKUP(Tbl_JPod[[#This Row],[Mother]],Tbl_JPod[Name],Tbl_JPod[Mother],"(unknown)")</f>
        <v>J12 Sissy</v>
      </c>
      <c r="E44" t="s">
        <v>250</v>
      </c>
      <c r="F44" t="s">
        <v>251</v>
      </c>
      <c r="G44">
        <v>2008</v>
      </c>
      <c r="H44">
        <v>2008</v>
      </c>
      <c r="I44" t="str">
        <f>IF(Tbl_JPod[[#This Row],[Death year]]=Tbl_JPod[[#This Row],[Birth year]],Tbl_JPod[[#This Row],[Death year]]&amp;" (infant)",Tbl_JPod[[#This Row],[Birth year]]&amp;" - "&amp;IF(Tbl_JPod[[#This Row],[Death year]]="","present",Tbl_JPod[[#This Row],[Death year]]))</f>
        <v>2008 (infant)</v>
      </c>
      <c r="J44">
        <f>COUNTIF(Tbl_JPod[Mother],Tbl_JPod[[#This Row],[Name]])</f>
        <v>0</v>
      </c>
      <c r="K44" t="str" cm="1">
        <f t="array" ref="K44">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none</v>
      </c>
    </row>
    <row r="45" spans="1:13">
      <c r="A45" t="s">
        <v>252</v>
      </c>
      <c r="B45" t="s">
        <v>121</v>
      </c>
      <c r="C45" t="s">
        <v>170</v>
      </c>
      <c r="D45" t="str">
        <f>_xlfn.XLOOKUP(Tbl_JPod[[#This Row],[Mother]],Tbl_JPod[Name],Tbl_JPod[Mother],"(unknown)")</f>
        <v>J5 Saratoga</v>
      </c>
      <c r="E45" t="s">
        <v>253</v>
      </c>
      <c r="F45" t="s">
        <v>254</v>
      </c>
      <c r="G45">
        <v>2009</v>
      </c>
      <c r="I45" t="str">
        <f>IF(Tbl_JPod[[#This Row],[Death year]]=Tbl_JPod[[#This Row],[Birth year]],Tbl_JPod[[#This Row],[Death year]]&amp;" (infant)",Tbl_JPod[[#This Row],[Birth year]]&amp;" - "&amp;IF(Tbl_JPod[[#This Row],[Death year]]="","present",Tbl_JPod[[#This Row],[Death year]]))</f>
        <v>2009 - present</v>
      </c>
      <c r="J45">
        <f>COUNTIF(Tbl_JPod[Mother],Tbl_JPod[[#This Row],[Name]])</f>
        <v>0</v>
      </c>
      <c r="K45" t="str" cm="1">
        <f t="array" ref="K45">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unknown - male orca</v>
      </c>
      <c r="M45" t="s">
        <v>164</v>
      </c>
    </row>
    <row r="46" spans="1:13">
      <c r="A46" t="s">
        <v>255</v>
      </c>
      <c r="B46" t="s">
        <v>121</v>
      </c>
      <c r="C46" t="s">
        <v>163</v>
      </c>
      <c r="D46" t="str">
        <f>_xlfn.XLOOKUP(Tbl_JPod[[#This Row],[Mother]],Tbl_JPod[Name],Tbl_JPod[Mother],"(unknown)")</f>
        <v>J12 Sissy</v>
      </c>
      <c r="E46" t="s">
        <v>256</v>
      </c>
      <c r="F46" t="s">
        <v>257</v>
      </c>
      <c r="G46">
        <v>2009</v>
      </c>
      <c r="I46" t="str">
        <f>IF(Tbl_JPod[[#This Row],[Death year]]=Tbl_JPod[[#This Row],[Birth year]],Tbl_JPod[[#This Row],[Death year]]&amp;" (infant)",Tbl_JPod[[#This Row],[Birth year]]&amp;" - "&amp;IF(Tbl_JPod[[#This Row],[Death year]]="","present",Tbl_JPod[[#This Row],[Death year]]))</f>
        <v>2009 - present</v>
      </c>
      <c r="J46">
        <f>COUNTIF(Tbl_JPod[Mother],Tbl_JPod[[#This Row],[Name]])</f>
        <v>0</v>
      </c>
      <c r="K46" t="str" cm="1">
        <f t="array" ref="K46">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unknown - male orca</v>
      </c>
      <c r="M46" t="s">
        <v>136</v>
      </c>
    </row>
    <row r="47" spans="1:13">
      <c r="A47" t="s">
        <v>258</v>
      </c>
      <c r="B47" t="s">
        <v>127</v>
      </c>
      <c r="C47" t="s">
        <v>204</v>
      </c>
      <c r="D47" t="str">
        <f>_xlfn.XLOOKUP(Tbl_JPod[[#This Row],[Mother]],Tbl_JPod[Name],Tbl_JPod[Mother],"(unknown)")</f>
        <v>J17 Princess Angeline</v>
      </c>
      <c r="E47" t="s">
        <v>259</v>
      </c>
      <c r="F47" t="s">
        <v>260</v>
      </c>
      <c r="G47">
        <v>2009</v>
      </c>
      <c r="I47" t="str">
        <f>IF(Tbl_JPod[[#This Row],[Death year]]=Tbl_JPod[[#This Row],[Birth year]],Tbl_JPod[[#This Row],[Death year]]&amp;" (infant)",Tbl_JPod[[#This Row],[Birth year]]&amp;" - "&amp;IF(Tbl_JPod[[#This Row],[Death year]]="","present",Tbl_JPod[[#This Row],[Death year]]))</f>
        <v>2009 - present</v>
      </c>
      <c r="J47">
        <f>COUNTIF(Tbl_JPod[Mother],Tbl_JPod[[#This Row],[Name]])</f>
        <v>0</v>
      </c>
      <c r="K47" t="str" cm="1">
        <f t="array" ref="K47">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none</v>
      </c>
      <c r="M47" t="s">
        <v>168</v>
      </c>
    </row>
    <row r="48" spans="1:13">
      <c r="A48" t="s">
        <v>261</v>
      </c>
      <c r="B48" t="s">
        <v>121</v>
      </c>
      <c r="C48" t="s">
        <v>225</v>
      </c>
      <c r="D48" t="str">
        <f>_xlfn.XLOOKUP(Tbl_JPod[[#This Row],[Mother]],Tbl_JPod[Name],Tbl_JPod[Mother],"(unknown)")</f>
        <v>J17 Princess Angeline</v>
      </c>
      <c r="E48" t="s">
        <v>262</v>
      </c>
      <c r="F48" t="s">
        <v>263</v>
      </c>
      <c r="G48">
        <v>2010</v>
      </c>
      <c r="I48" t="str">
        <f>IF(Tbl_JPod[[#This Row],[Death year]]=Tbl_JPod[[#This Row],[Birth year]],Tbl_JPod[[#This Row],[Death year]]&amp;" (infant)",Tbl_JPod[[#This Row],[Birth year]]&amp;" - "&amp;IF(Tbl_JPod[[#This Row],[Death year]]="","present",Tbl_JPod[[#This Row],[Death year]]))</f>
        <v>2010 - present</v>
      </c>
      <c r="J48">
        <f>COUNTIF(Tbl_JPod[Mother],Tbl_JPod[[#This Row],[Name]])</f>
        <v>0</v>
      </c>
      <c r="K48" t="str" cm="1">
        <f t="array" ref="K48">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unknown - male orca</v>
      </c>
    </row>
    <row r="49" spans="1:13">
      <c r="A49" t="s">
        <v>264</v>
      </c>
      <c r="B49" t="s">
        <v>183</v>
      </c>
      <c r="C49" t="s">
        <v>167</v>
      </c>
      <c r="D49" t="str">
        <f>_xlfn.XLOOKUP(Tbl_JPod[[#This Row],[Mother]],Tbl_JPod[Name],Tbl_JPod[Mother],"(unknown)")</f>
        <v>J7 Sucia</v>
      </c>
      <c r="E49" t="s">
        <v>265</v>
      </c>
      <c r="F49" t="s">
        <v>266</v>
      </c>
      <c r="G49">
        <v>2011</v>
      </c>
      <c r="H49">
        <v>2012</v>
      </c>
      <c r="I49" t="str">
        <f>IF(Tbl_JPod[[#This Row],[Death year]]=Tbl_JPod[[#This Row],[Birth year]],Tbl_JPod[[#This Row],[Death year]]&amp;" (infant)",Tbl_JPod[[#This Row],[Birth year]]&amp;" - "&amp;IF(Tbl_JPod[[#This Row],[Death year]]="","present",Tbl_JPod[[#This Row],[Death year]]))</f>
        <v>2011 - 2012</v>
      </c>
      <c r="J49">
        <f>COUNTIF(Tbl_JPod[Mother],Tbl_JPod[[#This Row],[Name]])</f>
        <v>0</v>
      </c>
      <c r="K49" t="str" cm="1">
        <f t="array" ref="K49">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none</v>
      </c>
      <c r="M49" t="s">
        <v>171</v>
      </c>
    </row>
    <row r="50" spans="1:13">
      <c r="A50" t="s">
        <v>267</v>
      </c>
      <c r="B50" t="s">
        <v>121</v>
      </c>
      <c r="C50" t="s">
        <v>231</v>
      </c>
      <c r="D50" t="str">
        <f>_xlfn.XLOOKUP(Tbl_JPod[[#This Row],[Mother]],Tbl_JPod[Name],Tbl_JPod[Mother],"(unknown)")</f>
        <v>J14 Samish</v>
      </c>
      <c r="E50" t="s">
        <v>268</v>
      </c>
      <c r="F50" t="s">
        <v>269</v>
      </c>
      <c r="G50">
        <v>2012</v>
      </c>
      <c r="I50" t="str">
        <f>IF(Tbl_JPod[[#This Row],[Death year]]=Tbl_JPod[[#This Row],[Birth year]],Tbl_JPod[[#This Row],[Death year]]&amp;" (infant)",Tbl_JPod[[#This Row],[Birth year]]&amp;" - "&amp;IF(Tbl_JPod[[#This Row],[Death year]]="","present",Tbl_JPod[[#This Row],[Death year]]))</f>
        <v>2012 - present</v>
      </c>
      <c r="J50">
        <f>COUNTIF(Tbl_JPod[Mother],Tbl_JPod[[#This Row],[Name]])</f>
        <v>0</v>
      </c>
      <c r="K50" t="str" cm="1">
        <f t="array" ref="K50">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unknown - male orca</v>
      </c>
      <c r="M50" t="s">
        <v>164</v>
      </c>
    </row>
    <row r="51" spans="1:13">
      <c r="A51" t="s">
        <v>270</v>
      </c>
      <c r="B51" t="s">
        <v>127</v>
      </c>
      <c r="C51" t="s">
        <v>167</v>
      </c>
      <c r="D51" t="str">
        <f>_xlfn.XLOOKUP(Tbl_JPod[[#This Row],[Mother]],Tbl_JPod[Name],Tbl_JPod[Mother],"(unknown)")</f>
        <v>J7 Sucia</v>
      </c>
      <c r="E51" t="s">
        <v>271</v>
      </c>
      <c r="F51" t="s">
        <v>272</v>
      </c>
      <c r="G51">
        <v>2014</v>
      </c>
      <c r="H51">
        <v>2018</v>
      </c>
      <c r="I51" t="str">
        <f>IF(Tbl_JPod[[#This Row],[Death year]]=Tbl_JPod[[#This Row],[Birth year]],Tbl_JPod[[#This Row],[Death year]]&amp;" (infant)",Tbl_JPod[[#This Row],[Birth year]]&amp;" - "&amp;IF(Tbl_JPod[[#This Row],[Death year]]="","present",Tbl_JPod[[#This Row],[Death year]]))</f>
        <v>2014 - 2018</v>
      </c>
      <c r="J51">
        <f>COUNTIF(Tbl_JPod[Mother],Tbl_JPod[[#This Row],[Name]])</f>
        <v>0</v>
      </c>
      <c r="K51" t="str" cm="1">
        <f t="array" ref="K51">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none</v>
      </c>
      <c r="M51" t="s">
        <v>171</v>
      </c>
    </row>
    <row r="52" spans="1:13">
      <c r="A52" t="s">
        <v>273</v>
      </c>
      <c r="B52" t="s">
        <v>121</v>
      </c>
      <c r="C52" t="s">
        <v>243</v>
      </c>
      <c r="D52" t="str">
        <f>_xlfn.XLOOKUP(Tbl_JPod[[#This Row],[Mother]],Tbl_JPod[Name],Tbl_JPod[Mother],"(unknown)")</f>
        <v>J19 Shachi</v>
      </c>
      <c r="E52" t="s">
        <v>274</v>
      </c>
      <c r="F52" t="s">
        <v>275</v>
      </c>
      <c r="G52">
        <v>2015</v>
      </c>
      <c r="I52" t="str">
        <f>IF(Tbl_JPod[[#This Row],[Death year]]=Tbl_JPod[[#This Row],[Birth year]],Tbl_JPod[[#This Row],[Death year]]&amp;" (infant)",Tbl_JPod[[#This Row],[Birth year]]&amp;" - "&amp;IF(Tbl_JPod[[#This Row],[Death year]]="","present",Tbl_JPod[[#This Row],[Death year]]))</f>
        <v>2015 - present</v>
      </c>
      <c r="J52">
        <f>COUNTIF(Tbl_JPod[Mother],Tbl_JPod[[#This Row],[Name]])</f>
        <v>0</v>
      </c>
      <c r="K52" t="str" cm="1">
        <f t="array" ref="K52">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none</v>
      </c>
    </row>
    <row r="53" spans="1:13">
      <c r="A53" t="s">
        <v>276</v>
      </c>
      <c r="B53" t="s">
        <v>121</v>
      </c>
      <c r="C53" t="s">
        <v>228</v>
      </c>
      <c r="D53" t="str">
        <f>_xlfn.XLOOKUP(Tbl_JPod[[#This Row],[Mother]],Tbl_JPod[Name],Tbl_JPod[Mother],"(unknown)")</f>
        <v>J16 Slick</v>
      </c>
      <c r="E53" t="s">
        <v>277</v>
      </c>
      <c r="F53" t="s">
        <v>278</v>
      </c>
      <c r="G53">
        <v>2015</v>
      </c>
      <c r="H53">
        <v>2017</v>
      </c>
      <c r="I53" t="str">
        <f>IF(Tbl_JPod[[#This Row],[Death year]]=Tbl_JPod[[#This Row],[Birth year]],Tbl_JPod[[#This Row],[Death year]]&amp;" (infant)",Tbl_JPod[[#This Row],[Birth year]]&amp;" - "&amp;IF(Tbl_JPod[[#This Row],[Death year]]="","present",Tbl_JPod[[#This Row],[Death year]]))</f>
        <v>2015 - 2017</v>
      </c>
      <c r="J53">
        <f>COUNTIF(Tbl_JPod[Mother],Tbl_JPod[[#This Row],[Name]])</f>
        <v>0</v>
      </c>
      <c r="K53" t="str" cm="1">
        <f t="array" ref="K53">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none</v>
      </c>
    </row>
    <row r="54" spans="1:13">
      <c r="A54" t="s">
        <v>279</v>
      </c>
      <c r="B54" t="s">
        <v>127</v>
      </c>
      <c r="C54" t="s">
        <v>170</v>
      </c>
      <c r="D54" t="str">
        <f>_xlfn.XLOOKUP(Tbl_JPod[[#This Row],[Mother]],Tbl_JPod[Name],Tbl_JPod[Mother],"(unknown)")</f>
        <v>J5 Saratoga</v>
      </c>
      <c r="E54" t="s">
        <v>280</v>
      </c>
      <c r="F54" t="s">
        <v>281</v>
      </c>
      <c r="G54">
        <v>2015</v>
      </c>
      <c r="I54" t="str">
        <f>IF(Tbl_JPod[[#This Row],[Death year]]=Tbl_JPod[[#This Row],[Birth year]],Tbl_JPod[[#This Row],[Death year]]&amp;" (infant)",Tbl_JPod[[#This Row],[Birth year]]&amp;" - "&amp;IF(Tbl_JPod[[#This Row],[Death year]]="","present",Tbl_JPod[[#This Row],[Death year]]))</f>
        <v>2015 - present</v>
      </c>
      <c r="J54">
        <f>COUNTIF(Tbl_JPod[Mother],Tbl_JPod[[#This Row],[Name]])</f>
        <v>0</v>
      </c>
      <c r="K54" t="str" cm="1">
        <f t="array" ref="K54">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none</v>
      </c>
    </row>
    <row r="55" spans="1:13">
      <c r="A55" t="s">
        <v>282</v>
      </c>
      <c r="B55" t="s">
        <v>121</v>
      </c>
      <c r="C55" t="s">
        <v>204</v>
      </c>
      <c r="D55" t="str">
        <f>_xlfn.XLOOKUP(Tbl_JPod[[#This Row],[Mother]],Tbl_JPod[Name],Tbl_JPod[Mother],"(unknown)")</f>
        <v>J17 Princess Angeline</v>
      </c>
      <c r="E55" t="s">
        <v>283</v>
      </c>
      <c r="F55" t="s">
        <v>284</v>
      </c>
      <c r="G55">
        <v>2015</v>
      </c>
      <c r="H55">
        <v>2016</v>
      </c>
      <c r="I55" t="str">
        <f>IF(Tbl_JPod[[#This Row],[Death year]]=Tbl_JPod[[#This Row],[Birth year]],Tbl_JPod[[#This Row],[Death year]]&amp;" (infant)",Tbl_JPod[[#This Row],[Birth year]]&amp;" - "&amp;IF(Tbl_JPod[[#This Row],[Death year]]="","present",Tbl_JPod[[#This Row],[Death year]]))</f>
        <v>2015 - 2016</v>
      </c>
      <c r="J55">
        <f>COUNTIF(Tbl_JPod[Mother],Tbl_JPod[[#This Row],[Name]])</f>
        <v>0</v>
      </c>
      <c r="K55" t="str" cm="1">
        <f t="array" ref="K55">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none</v>
      </c>
    </row>
    <row r="56" spans="1:13">
      <c r="A56" t="s">
        <v>285</v>
      </c>
      <c r="B56" t="s">
        <v>183</v>
      </c>
      <c r="C56" t="s">
        <v>231</v>
      </c>
      <c r="D56" t="str">
        <f>_xlfn.XLOOKUP(Tbl_JPod[[#This Row],[Mother]],Tbl_JPod[Name],Tbl_JPod[Mother],"(unknown)")</f>
        <v>J14 Samish</v>
      </c>
      <c r="E56" t="s">
        <v>286</v>
      </c>
      <c r="F56" t="s">
        <v>287</v>
      </c>
      <c r="G56">
        <v>2016</v>
      </c>
      <c r="H56">
        <v>2016</v>
      </c>
      <c r="I56" t="str">
        <f>IF(Tbl_JPod[[#This Row],[Death year]]=Tbl_JPod[[#This Row],[Birth year]],Tbl_JPod[[#This Row],[Death year]]&amp;" (infant)",Tbl_JPod[[#This Row],[Birth year]]&amp;" - "&amp;IF(Tbl_JPod[[#This Row],[Death year]]="","present",Tbl_JPod[[#This Row],[Death year]]))</f>
        <v>2016 (infant)</v>
      </c>
      <c r="J56">
        <f>COUNTIF(Tbl_JPod[Mother],Tbl_JPod[[#This Row],[Name]])</f>
        <v>0</v>
      </c>
      <c r="K56" t="str" cm="1">
        <f t="array" ref="K56">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none</v>
      </c>
    </row>
    <row r="57" spans="1:13">
      <c r="A57" t="s">
        <v>288</v>
      </c>
      <c r="B57" t="s">
        <v>127</v>
      </c>
      <c r="C57" t="s">
        <v>213</v>
      </c>
      <c r="D57" t="str">
        <f>_xlfn.XLOOKUP(Tbl_JPod[[#This Row],[Mother]],Tbl_JPod[Name],Tbl_JPod[Mother],"(unknown)")</f>
        <v>J11 Blossom</v>
      </c>
      <c r="E57" t="s">
        <v>289</v>
      </c>
      <c r="F57" t="s">
        <v>290</v>
      </c>
      <c r="G57">
        <v>2019</v>
      </c>
      <c r="I57" t="str">
        <f>IF(Tbl_JPod[[#This Row],[Death year]]=Tbl_JPod[[#This Row],[Birth year]],Tbl_JPod[[#This Row],[Death year]]&amp;" (infant)",Tbl_JPod[[#This Row],[Birth year]]&amp;" - "&amp;IF(Tbl_JPod[[#This Row],[Death year]]="","present",Tbl_JPod[[#This Row],[Death year]]))</f>
        <v>2019 - present</v>
      </c>
      <c r="J57">
        <f>COUNTIF(Tbl_JPod[Mother],Tbl_JPod[[#This Row],[Name]])</f>
        <v>0</v>
      </c>
      <c r="K57" t="str" cm="1">
        <f t="array" ref="K57">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none</v>
      </c>
    </row>
    <row r="58" spans="1:13">
      <c r="A58" t="s">
        <v>291</v>
      </c>
      <c r="B58" t="s">
        <v>121</v>
      </c>
      <c r="C58" t="s">
        <v>225</v>
      </c>
      <c r="D58" t="str">
        <f>_xlfn.XLOOKUP(Tbl_JPod[[#This Row],[Mother]],Tbl_JPod[Name],Tbl_JPod[Mother],"(unknown)")</f>
        <v>J17 Princess Angeline</v>
      </c>
      <c r="E58" t="s">
        <v>292</v>
      </c>
      <c r="F58" t="s">
        <v>293</v>
      </c>
      <c r="G58">
        <v>2020</v>
      </c>
      <c r="I58" t="str">
        <f>IF(Tbl_JPod[[#This Row],[Death year]]=Tbl_JPod[[#This Row],[Birth year]],Tbl_JPod[[#This Row],[Death year]]&amp;" (infant)",Tbl_JPod[[#This Row],[Birth year]]&amp;" - "&amp;IF(Tbl_JPod[[#This Row],[Death year]]="","present",Tbl_JPod[[#This Row],[Death year]]))</f>
        <v>2020 - present</v>
      </c>
      <c r="J58">
        <f>COUNTIF(Tbl_JPod[Mother],Tbl_JPod[[#This Row],[Name]])</f>
        <v>0</v>
      </c>
      <c r="K58" t="str" cm="1">
        <f t="array" ref="K58">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none</v>
      </c>
    </row>
    <row r="59" spans="1:13">
      <c r="A59" t="s">
        <v>294</v>
      </c>
      <c r="B59" t="s">
        <v>183</v>
      </c>
      <c r="C59" t="s">
        <v>243</v>
      </c>
      <c r="D59" t="str">
        <f>_xlfn.XLOOKUP(Tbl_JPod[[#This Row],[Mother]],Tbl_JPod[Name],Tbl_JPod[Mother],"(unknown)")</f>
        <v>J19 Shachi</v>
      </c>
      <c r="E59" t="s">
        <v>295</v>
      </c>
      <c r="F59" t="s">
        <v>296</v>
      </c>
      <c r="G59">
        <v>2020</v>
      </c>
      <c r="I59" t="str">
        <f>IF(Tbl_JPod[[#This Row],[Death year]]=Tbl_JPod[[#This Row],[Birth year]],Tbl_JPod[[#This Row],[Death year]]&amp;" (infant)",Tbl_JPod[[#This Row],[Birth year]]&amp;" - "&amp;IF(Tbl_JPod[[#This Row],[Death year]]="","present",Tbl_JPod[[#This Row],[Death year]]))</f>
        <v>2020 - present</v>
      </c>
      <c r="J59">
        <f>COUNTIF(Tbl_JPod[Mother],Tbl_JPod[[#This Row],[Name]])</f>
        <v>0</v>
      </c>
      <c r="K59" t="str" cm="1">
        <f t="array" ref="K59">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none</v>
      </c>
    </row>
    <row r="60" spans="1:13">
      <c r="A60" t="s">
        <v>297</v>
      </c>
      <c r="B60" t="s">
        <v>183</v>
      </c>
      <c r="C60" t="s">
        <v>155</v>
      </c>
      <c r="D60" t="str">
        <f>_xlfn.XLOOKUP(Tbl_JPod[[#This Row],[Mother]],Tbl_JPod[Name],Tbl_JPod[Mother],"(unknown)")</f>
        <v>J4 Mama</v>
      </c>
      <c r="E60" t="s">
        <v>162</v>
      </c>
      <c r="F60" t="s">
        <v>162</v>
      </c>
      <c r="G60">
        <v>1998</v>
      </c>
      <c r="H60">
        <v>1998</v>
      </c>
      <c r="I60" t="str">
        <f>IF(Tbl_JPod[[#This Row],[Death year]]=Tbl_JPod[[#This Row],[Birth year]],Tbl_JPod[[#This Row],[Death year]]&amp;" (infant)",Tbl_JPod[[#This Row],[Birth year]]&amp;" - "&amp;IF(Tbl_JPod[[#This Row],[Death year]]="","present",Tbl_JPod[[#This Row],[Death year]]))</f>
        <v>1998 (infant)</v>
      </c>
      <c r="J60">
        <f>COUNTIF(Tbl_JPod[Mother],Tbl_JPod[[#This Row],[Name]])</f>
        <v>0</v>
      </c>
      <c r="K60" t="str" cm="1">
        <f t="array" ref="K60">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none</v>
      </c>
    </row>
    <row r="61" spans="1:13">
      <c r="A61" t="s">
        <v>298</v>
      </c>
      <c r="B61" t="s">
        <v>183</v>
      </c>
      <c r="C61" t="s">
        <v>204</v>
      </c>
      <c r="D61" t="str">
        <f>_xlfn.XLOOKUP(Tbl_JPod[[#This Row],[Mother]],Tbl_JPod[Name],Tbl_JPod[Mother],"(unknown)")</f>
        <v>J17 Princess Angeline</v>
      </c>
      <c r="E61" t="s">
        <v>162</v>
      </c>
      <c r="F61" t="s">
        <v>299</v>
      </c>
      <c r="G61">
        <v>2013</v>
      </c>
      <c r="H61">
        <v>2013</v>
      </c>
      <c r="I61" t="str">
        <f>IF(Tbl_JPod[[#This Row],[Death year]]=Tbl_JPod[[#This Row],[Birth year]],Tbl_JPod[[#This Row],[Death year]]&amp;" (infant)",Tbl_JPod[[#This Row],[Birth year]]&amp;" - "&amp;IF(Tbl_JPod[[#This Row],[Death year]]="","present",Tbl_JPod[[#This Row],[Death year]]))</f>
        <v>2013 (infant)</v>
      </c>
      <c r="J61">
        <f>COUNTIF(Tbl_JPod[Mother],Tbl_JPod[[#This Row],[Name]])</f>
        <v>0</v>
      </c>
      <c r="K61" t="str" cm="1">
        <f t="array" ref="K61">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none</v>
      </c>
    </row>
    <row r="62" spans="1:13">
      <c r="A62" t="s">
        <v>300</v>
      </c>
      <c r="B62" t="s">
        <v>183</v>
      </c>
      <c r="C62" t="s">
        <v>213</v>
      </c>
      <c r="D62" t="str">
        <f>_xlfn.XLOOKUP(Tbl_JPod[[#This Row],[Mother]],Tbl_JPod[Name],Tbl_JPod[Mother],"(unknown)")</f>
        <v>J11 Blossom</v>
      </c>
      <c r="E62" t="s">
        <v>162</v>
      </c>
      <c r="F62" t="s">
        <v>162</v>
      </c>
      <c r="G62">
        <v>2016</v>
      </c>
      <c r="H62">
        <v>2016</v>
      </c>
      <c r="I62" t="str">
        <f>IF(Tbl_JPod[[#This Row],[Death year]]=Tbl_JPod[[#This Row],[Birth year]],Tbl_JPod[[#This Row],[Death year]]&amp;" (infant)",Tbl_JPod[[#This Row],[Birth year]]&amp;" - "&amp;IF(Tbl_JPod[[#This Row],[Death year]]="","present",Tbl_JPod[[#This Row],[Death year]]))</f>
        <v>2016 (infant)</v>
      </c>
      <c r="J62">
        <f>COUNTIF(Tbl_JPod[Mother],Tbl_JPod[[#This Row],[Name]])</f>
        <v>0</v>
      </c>
      <c r="K62" t="str" cm="1">
        <f t="array" ref="K62">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none</v>
      </c>
    </row>
    <row r="63" spans="1:13">
      <c r="A63" t="s">
        <v>301</v>
      </c>
      <c r="B63" t="s">
        <v>183</v>
      </c>
      <c r="C63" t="s">
        <v>225</v>
      </c>
      <c r="D63" t="str">
        <f>_xlfn.XLOOKUP(Tbl_JPod[[#This Row],[Mother]],Tbl_JPod[Name],Tbl_JPod[Mother],"(unknown)")</f>
        <v>J17 Princess Angeline</v>
      </c>
      <c r="E63" t="s">
        <v>162</v>
      </c>
      <c r="F63" t="s">
        <v>162</v>
      </c>
      <c r="G63">
        <v>2018</v>
      </c>
      <c r="H63">
        <v>2018</v>
      </c>
      <c r="I63" t="str">
        <f>IF(Tbl_JPod[[#This Row],[Death year]]=Tbl_JPod[[#This Row],[Birth year]],Tbl_JPod[[#This Row],[Death year]]&amp;" (infant)",Tbl_JPod[[#This Row],[Birth year]]&amp;" - "&amp;IF(Tbl_JPod[[#This Row],[Death year]]="","present",Tbl_JPod[[#This Row],[Death year]]))</f>
        <v>2018 (infant)</v>
      </c>
      <c r="J63">
        <f>COUNTIF(Tbl_JPod[Mother],Tbl_JPod[[#This Row],[Name]])</f>
        <v>0</v>
      </c>
      <c r="K63" t="str" cm="1">
        <f t="array" ref="K63">IF(Tbl_JPod[[#This Row],[Number of children]]=0,IF(AND(Tbl_JPod[[#This Row],[Gender]]="Male",IF(Tbl_JPod[[#This Row],[Death year]]="",2021,Tbl_JPod[[#This Row],[Death year]])-Tbl_JPod[[#This Row],[Birth year]]&gt;8),"unknown - male orca","none"), INDEX(_xlfn._xlws.FILTER(Tbl_JPod[Name],Tbl_JPod[Mother]=Tbl_JPod[[#This Row],[Name]],""),1)&amp;IF(Tbl_JPod[[#This Row],[Number of children]]=1,"",  ", "&amp;INDEX(_xlfn._xlws.FILTER(Tbl_JPod[Name],Tbl_JPod[Mother]=Tbl_JPod[[#This Row],[Name]],""),2)&amp;IF(Tbl_JPod[[#This Row],[Number of children]]&lt;=2,"",   ", "&amp;INDEX(_xlfn._xlws.FILTER(Tbl_JPod[Name],Tbl_JPod[Mother]=Tbl_JPod[[#This Row],[Name]],""),3)&amp;IF(Tbl_JPod[[#This Row],[Number of children]]&lt;=3,"",    ", "&amp;INDEX(_xlfn._xlws.FILTER(Tbl_JPod[Name],Tbl_JPod[Mother]=Tbl_JPod[[#This Row],[Name]],""),4)&amp;IF(Tbl_JPod[[#This Row],[Number of children]]&lt;=4,"",     ", "&amp;INDEX(_xlfn._xlws.FILTER(Tbl_JPod[Name],Tbl_JPod[Mother]=Tbl_JPod[[#This Row],[Name]],""),5)&amp;IF(Tbl_JPod[[#This Row],[Number of children]]&lt;=5,"",     ", "&amp;INDEX(_xlfn._xlws.FILTER(Tbl_JPod[Name],Tbl_JPod[Mother]=Tbl_JPod[[#This Row],[Name]],""),6)
))))))</f>
        <v>none</v>
      </c>
    </row>
  </sheetData>
  <phoneticPr fontId="1" type="noConversion"/>
  <pageMargins left="0.7" right="0.7" top="0.75" bottom="0.75" header="0.3" footer="0.3"/>
  <tableParts count="1">
    <tablePart r:id="rId1"/>
  </tableParts>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D312487-1F69-42F7-95A0-A57FF2E140FD}">
  <sheetPr>
    <tabColor theme="9"/>
  </sheetPr>
  <dimension ref="A1:E47"/>
  <sheetViews>
    <sheetView workbookViewId="0">
      <selection activeCell="H20" sqref="H20:I21"/>
    </sheetView>
  </sheetViews>
  <sheetFormatPr defaultRowHeight="16.5"/>
  <cols>
    <col min="1" max="1" width="16.5" customWidth="1"/>
    <col min="5" max="5" width="14.75" bestFit="1" customWidth="1"/>
  </cols>
  <sheetData>
    <row r="1" spans="1:5">
      <c r="A1" t="s">
        <v>302</v>
      </c>
      <c r="B1" t="s">
        <v>303</v>
      </c>
      <c r="C1" t="s">
        <v>304</v>
      </c>
      <c r="D1" t="s">
        <v>305</v>
      </c>
      <c r="E1" t="s">
        <v>306</v>
      </c>
    </row>
    <row r="2" spans="1:5">
      <c r="A2" t="s">
        <v>32</v>
      </c>
      <c r="B2" t="s">
        <v>307</v>
      </c>
      <c r="C2" t="s">
        <v>308</v>
      </c>
      <c r="D2" t="s">
        <v>309</v>
      </c>
      <c r="E2" t="s">
        <v>310</v>
      </c>
    </row>
    <row r="3" spans="1:5">
      <c r="A3" t="s">
        <v>33</v>
      </c>
      <c r="B3" t="s">
        <v>311</v>
      </c>
      <c r="C3" t="s">
        <v>312</v>
      </c>
      <c r="D3" t="s">
        <v>313</v>
      </c>
      <c r="E3" t="s">
        <v>307</v>
      </c>
    </row>
    <row r="4" spans="1:5">
      <c r="A4" t="s">
        <v>62</v>
      </c>
      <c r="B4" t="s">
        <v>314</v>
      </c>
      <c r="C4" t="s">
        <v>315</v>
      </c>
      <c r="D4" t="s">
        <v>313</v>
      </c>
      <c r="E4" t="s">
        <v>307</v>
      </c>
    </row>
    <row r="5" spans="1:5">
      <c r="A5" t="s">
        <v>34</v>
      </c>
      <c r="B5" t="s">
        <v>316</v>
      </c>
      <c r="C5" t="s">
        <v>317</v>
      </c>
      <c r="D5" t="s">
        <v>318</v>
      </c>
      <c r="E5" t="s">
        <v>311</v>
      </c>
    </row>
    <row r="6" spans="1:5">
      <c r="A6" t="s">
        <v>55</v>
      </c>
      <c r="B6" t="s">
        <v>319</v>
      </c>
      <c r="C6" t="s">
        <v>320</v>
      </c>
      <c r="D6" t="s">
        <v>318</v>
      </c>
      <c r="E6" t="s">
        <v>311</v>
      </c>
    </row>
    <row r="7" spans="1:5">
      <c r="A7" t="s">
        <v>63</v>
      </c>
      <c r="B7" t="s">
        <v>321</v>
      </c>
      <c r="C7" t="s">
        <v>322</v>
      </c>
      <c r="D7" t="s">
        <v>318</v>
      </c>
      <c r="E7" t="s">
        <v>314</v>
      </c>
    </row>
    <row r="8" spans="1:5">
      <c r="A8" t="s">
        <v>70</v>
      </c>
      <c r="B8" t="s">
        <v>323</v>
      </c>
      <c r="C8" t="s">
        <v>324</v>
      </c>
      <c r="D8" t="s">
        <v>318</v>
      </c>
      <c r="E8" t="s">
        <v>311</v>
      </c>
    </row>
    <row r="9" spans="1:5">
      <c r="A9" t="s">
        <v>35</v>
      </c>
      <c r="B9" t="s">
        <v>325</v>
      </c>
      <c r="C9" t="s">
        <v>326</v>
      </c>
      <c r="D9" t="s">
        <v>327</v>
      </c>
      <c r="E9" t="s">
        <v>316</v>
      </c>
    </row>
    <row r="10" spans="1:5">
      <c r="A10" t="s">
        <v>49</v>
      </c>
      <c r="B10" t="s">
        <v>328</v>
      </c>
      <c r="C10" t="s">
        <v>329</v>
      </c>
      <c r="D10" t="s">
        <v>327</v>
      </c>
      <c r="E10" t="s">
        <v>316</v>
      </c>
    </row>
    <row r="11" spans="1:5">
      <c r="A11" t="s">
        <v>56</v>
      </c>
      <c r="B11" t="s">
        <v>330</v>
      </c>
      <c r="C11" t="s">
        <v>331</v>
      </c>
      <c r="D11" t="s">
        <v>327</v>
      </c>
      <c r="E11" t="s">
        <v>319</v>
      </c>
    </row>
    <row r="12" spans="1:5">
      <c r="A12" t="s">
        <v>64</v>
      </c>
      <c r="B12" t="s">
        <v>332</v>
      </c>
      <c r="C12" t="s">
        <v>333</v>
      </c>
      <c r="D12" t="s">
        <v>327</v>
      </c>
      <c r="E12" t="s">
        <v>321</v>
      </c>
    </row>
    <row r="13" spans="1:5">
      <c r="A13" t="s">
        <v>71</v>
      </c>
      <c r="B13" t="s">
        <v>334</v>
      </c>
      <c r="C13" t="s">
        <v>335</v>
      </c>
      <c r="D13" t="s">
        <v>327</v>
      </c>
      <c r="E13" t="s">
        <v>323</v>
      </c>
    </row>
    <row r="14" spans="1:5">
      <c r="A14" t="s">
        <v>93</v>
      </c>
      <c r="B14" t="s">
        <v>336</v>
      </c>
      <c r="C14" t="s">
        <v>337</v>
      </c>
      <c r="D14" t="s">
        <v>327</v>
      </c>
      <c r="E14" t="s">
        <v>316</v>
      </c>
    </row>
    <row r="15" spans="1:5">
      <c r="A15" t="s">
        <v>36</v>
      </c>
      <c r="B15" t="s">
        <v>338</v>
      </c>
      <c r="C15" t="s">
        <v>339</v>
      </c>
      <c r="D15" t="s">
        <v>340</v>
      </c>
      <c r="E15" t="s">
        <v>325</v>
      </c>
    </row>
    <row r="16" spans="1:5">
      <c r="A16" t="s">
        <v>45</v>
      </c>
      <c r="B16" t="s">
        <v>341</v>
      </c>
      <c r="C16" t="s">
        <v>342</v>
      </c>
      <c r="D16" t="s">
        <v>340</v>
      </c>
      <c r="E16" t="s">
        <v>325</v>
      </c>
    </row>
    <row r="17" spans="1:5">
      <c r="A17" t="s">
        <v>50</v>
      </c>
      <c r="B17" t="s">
        <v>343</v>
      </c>
      <c r="C17" t="s">
        <v>344</v>
      </c>
      <c r="D17" t="s">
        <v>340</v>
      </c>
      <c r="E17" t="s">
        <v>328</v>
      </c>
    </row>
    <row r="18" spans="1:5">
      <c r="A18" t="s">
        <v>57</v>
      </c>
      <c r="B18" t="s">
        <v>345</v>
      </c>
      <c r="C18" t="s">
        <v>346</v>
      </c>
      <c r="D18" t="s">
        <v>340</v>
      </c>
      <c r="E18" t="s">
        <v>330</v>
      </c>
    </row>
    <row r="19" spans="1:5">
      <c r="A19" t="s">
        <v>65</v>
      </c>
      <c r="B19" t="s">
        <v>347</v>
      </c>
      <c r="C19" t="s">
        <v>348</v>
      </c>
      <c r="D19" t="s">
        <v>340</v>
      </c>
      <c r="E19" t="s">
        <v>332</v>
      </c>
    </row>
    <row r="20" spans="1:5">
      <c r="A20" t="s">
        <v>72</v>
      </c>
      <c r="B20" t="s">
        <v>72</v>
      </c>
      <c r="C20" t="s">
        <v>349</v>
      </c>
      <c r="D20" t="s">
        <v>340</v>
      </c>
      <c r="E20" t="s">
        <v>334</v>
      </c>
    </row>
    <row r="21" spans="1:5">
      <c r="A21" t="s">
        <v>77</v>
      </c>
      <c r="B21" t="s">
        <v>350</v>
      </c>
      <c r="C21" t="s">
        <v>351</v>
      </c>
      <c r="D21" t="s">
        <v>340</v>
      </c>
      <c r="E21" t="s">
        <v>328</v>
      </c>
    </row>
    <row r="22" spans="1:5">
      <c r="A22" t="s">
        <v>82</v>
      </c>
      <c r="B22" t="s">
        <v>352</v>
      </c>
      <c r="C22" t="s">
        <v>353</v>
      </c>
      <c r="D22" t="s">
        <v>340</v>
      </c>
      <c r="E22" t="s">
        <v>328</v>
      </c>
    </row>
    <row r="23" spans="1:5">
      <c r="A23" t="s">
        <v>88</v>
      </c>
      <c r="B23" t="s">
        <v>354</v>
      </c>
      <c r="C23" t="s">
        <v>355</v>
      </c>
      <c r="D23" t="s">
        <v>340</v>
      </c>
      <c r="E23" t="s">
        <v>328</v>
      </c>
    </row>
    <row r="24" spans="1:5">
      <c r="A24" t="s">
        <v>94</v>
      </c>
      <c r="B24" t="s">
        <v>356</v>
      </c>
      <c r="C24" t="s">
        <v>357</v>
      </c>
      <c r="D24" t="s">
        <v>340</v>
      </c>
      <c r="E24" t="s">
        <v>336</v>
      </c>
    </row>
    <row r="25" spans="1:5">
      <c r="A25" t="s">
        <v>37</v>
      </c>
      <c r="B25" t="s">
        <v>358</v>
      </c>
      <c r="C25" t="s">
        <v>359</v>
      </c>
      <c r="D25" t="s">
        <v>360</v>
      </c>
      <c r="E25" t="s">
        <v>338</v>
      </c>
    </row>
    <row r="26" spans="1:5">
      <c r="A26" t="s">
        <v>41</v>
      </c>
      <c r="B26" t="s">
        <v>41</v>
      </c>
      <c r="C26" t="s">
        <v>361</v>
      </c>
      <c r="D26" t="s">
        <v>360</v>
      </c>
      <c r="E26" t="s">
        <v>338</v>
      </c>
    </row>
    <row r="27" spans="1:5">
      <c r="A27" t="s">
        <v>44</v>
      </c>
      <c r="B27" t="s">
        <v>362</v>
      </c>
      <c r="C27" t="s">
        <v>363</v>
      </c>
      <c r="D27" t="s">
        <v>360</v>
      </c>
      <c r="E27" t="s">
        <v>341</v>
      </c>
    </row>
    <row r="28" spans="1:5">
      <c r="A28" t="s">
        <v>51</v>
      </c>
      <c r="B28" t="s">
        <v>51</v>
      </c>
      <c r="C28" t="s">
        <v>364</v>
      </c>
      <c r="D28" t="s">
        <v>360</v>
      </c>
      <c r="E28" t="s">
        <v>343</v>
      </c>
    </row>
    <row r="29" spans="1:5">
      <c r="A29" t="s">
        <v>58</v>
      </c>
      <c r="B29" t="s">
        <v>58</v>
      </c>
      <c r="C29" t="s">
        <v>365</v>
      </c>
      <c r="D29" t="s">
        <v>360</v>
      </c>
      <c r="E29" t="s">
        <v>345</v>
      </c>
    </row>
    <row r="30" spans="1:5">
      <c r="A30" t="s">
        <v>66</v>
      </c>
      <c r="B30" t="s">
        <v>66</v>
      </c>
      <c r="C30" t="s">
        <v>366</v>
      </c>
      <c r="D30" t="s">
        <v>360</v>
      </c>
      <c r="E30" t="s">
        <v>347</v>
      </c>
    </row>
    <row r="31" spans="1:5">
      <c r="A31" t="s">
        <v>73</v>
      </c>
      <c r="B31" t="s">
        <v>73</v>
      </c>
      <c r="C31" t="s">
        <v>367</v>
      </c>
      <c r="D31" t="s">
        <v>360</v>
      </c>
      <c r="E31" t="s">
        <v>72</v>
      </c>
    </row>
    <row r="32" spans="1:5">
      <c r="A32" t="s">
        <v>78</v>
      </c>
      <c r="B32" t="s">
        <v>78</v>
      </c>
      <c r="C32" t="s">
        <v>368</v>
      </c>
      <c r="D32" t="s">
        <v>360</v>
      </c>
      <c r="E32" t="s">
        <v>350</v>
      </c>
    </row>
    <row r="33" spans="1:5">
      <c r="A33" t="s">
        <v>83</v>
      </c>
      <c r="B33" t="s">
        <v>83</v>
      </c>
      <c r="C33" t="s">
        <v>369</v>
      </c>
      <c r="D33" t="s">
        <v>360</v>
      </c>
      <c r="E33" t="s">
        <v>352</v>
      </c>
    </row>
    <row r="34" spans="1:5">
      <c r="A34" t="s">
        <v>89</v>
      </c>
      <c r="B34" t="s">
        <v>89</v>
      </c>
      <c r="C34" t="s">
        <v>370</v>
      </c>
      <c r="D34" t="s">
        <v>360</v>
      </c>
      <c r="E34" t="s">
        <v>354</v>
      </c>
    </row>
    <row r="35" spans="1:5">
      <c r="A35" t="s">
        <v>95</v>
      </c>
      <c r="B35" t="s">
        <v>371</v>
      </c>
      <c r="C35" t="s">
        <v>372</v>
      </c>
      <c r="D35" t="s">
        <v>360</v>
      </c>
      <c r="E35" t="s">
        <v>356</v>
      </c>
    </row>
    <row r="36" spans="1:5">
      <c r="A36" t="s">
        <v>31</v>
      </c>
      <c r="B36" t="s">
        <v>38</v>
      </c>
      <c r="C36" t="s">
        <v>39</v>
      </c>
      <c r="D36" t="s">
        <v>373</v>
      </c>
      <c r="E36" t="s">
        <v>358</v>
      </c>
    </row>
    <row r="37" spans="1:5">
      <c r="A37" t="s">
        <v>40</v>
      </c>
      <c r="B37" t="s">
        <v>42</v>
      </c>
      <c r="C37" t="s">
        <v>43</v>
      </c>
      <c r="D37" t="s">
        <v>373</v>
      </c>
      <c r="E37" t="s">
        <v>41</v>
      </c>
    </row>
    <row r="38" spans="1:5">
      <c r="A38" t="s">
        <v>44</v>
      </c>
      <c r="B38" t="s">
        <v>46</v>
      </c>
      <c r="C38" t="s">
        <v>47</v>
      </c>
      <c r="D38" t="s">
        <v>373</v>
      </c>
      <c r="E38" t="s">
        <v>362</v>
      </c>
    </row>
    <row r="39" spans="1:5">
      <c r="A39" t="s">
        <v>48</v>
      </c>
      <c r="B39" t="s">
        <v>52</v>
      </c>
      <c r="C39" t="s">
        <v>53</v>
      </c>
      <c r="D39" t="s">
        <v>373</v>
      </c>
      <c r="E39" t="s">
        <v>51</v>
      </c>
    </row>
    <row r="40" spans="1:5">
      <c r="A40" t="s">
        <v>54</v>
      </c>
      <c r="B40" t="s">
        <v>59</v>
      </c>
      <c r="C40" t="s">
        <v>60</v>
      </c>
      <c r="D40" t="s">
        <v>373</v>
      </c>
      <c r="E40" t="s">
        <v>58</v>
      </c>
    </row>
    <row r="41" spans="1:5">
      <c r="A41" t="s">
        <v>61</v>
      </c>
      <c r="B41" t="s">
        <v>67</v>
      </c>
      <c r="C41" t="s">
        <v>68</v>
      </c>
      <c r="D41" t="s">
        <v>373</v>
      </c>
      <c r="E41" t="s">
        <v>66</v>
      </c>
    </row>
    <row r="42" spans="1:5">
      <c r="A42" t="s">
        <v>69</v>
      </c>
      <c r="B42" t="s">
        <v>74</v>
      </c>
      <c r="C42" t="s">
        <v>75</v>
      </c>
      <c r="D42" t="s">
        <v>373</v>
      </c>
      <c r="E42" t="s">
        <v>73</v>
      </c>
    </row>
    <row r="43" spans="1:5">
      <c r="A43" t="s">
        <v>76</v>
      </c>
      <c r="B43" t="s">
        <v>79</v>
      </c>
      <c r="C43" t="s">
        <v>80</v>
      </c>
      <c r="D43" t="s">
        <v>373</v>
      </c>
      <c r="E43" t="s">
        <v>78</v>
      </c>
    </row>
    <row r="44" spans="1:5">
      <c r="A44" t="s">
        <v>84</v>
      </c>
      <c r="B44" t="s">
        <v>374</v>
      </c>
      <c r="C44" t="s">
        <v>375</v>
      </c>
      <c r="D44" t="s">
        <v>373</v>
      </c>
      <c r="E44" t="s">
        <v>83</v>
      </c>
    </row>
    <row r="45" spans="1:5">
      <c r="A45" t="s">
        <v>87</v>
      </c>
      <c r="B45" t="s">
        <v>90</v>
      </c>
      <c r="C45" t="s">
        <v>91</v>
      </c>
      <c r="D45" t="s">
        <v>373</v>
      </c>
      <c r="E45" t="s">
        <v>89</v>
      </c>
    </row>
    <row r="46" spans="1:5">
      <c r="A46" t="s">
        <v>92</v>
      </c>
      <c r="B46" t="s">
        <v>96</v>
      </c>
      <c r="C46" t="s">
        <v>97</v>
      </c>
      <c r="D46" t="s">
        <v>373</v>
      </c>
      <c r="E46" t="s">
        <v>371</v>
      </c>
    </row>
    <row r="47" spans="1:5">
      <c r="A47" t="s">
        <v>376</v>
      </c>
      <c r="B47" t="s">
        <v>377</v>
      </c>
      <c r="C47" t="s">
        <v>378</v>
      </c>
      <c r="D47" t="s">
        <v>379</v>
      </c>
      <c r="E47" t="s">
        <v>116</v>
      </c>
    </row>
  </sheetData>
  <pageMargins left="0.7" right="0.7" top="0.75" bottom="0.75" header="0.3" footer="0.3"/>
  <tableParts count="1">
    <tablePart r:id="rId1"/>
  </tableParts>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77DE5E-4B15-44C4-95FC-20A19D52D14F}">
  <sheetPr codeName="Sheet6">
    <tabColor theme="9" tint="0.79998168889431442"/>
  </sheetPr>
  <dimension ref="B2:X10"/>
  <sheetViews>
    <sheetView workbookViewId="0">
      <selection activeCell="H20" sqref="H20:I21"/>
    </sheetView>
  </sheetViews>
  <sheetFormatPr defaultColWidth="8.875" defaultRowHeight="16.5"/>
  <cols>
    <col min="2" max="2" width="9.875" customWidth="1"/>
    <col min="3" max="3" width="28.875" customWidth="1"/>
    <col min="8" max="8" width="12.125" customWidth="1"/>
    <col min="9" max="11" width="12.375" bestFit="1" customWidth="1"/>
  </cols>
  <sheetData>
    <row r="2" spans="2:24">
      <c r="B2" t="s">
        <v>380</v>
      </c>
      <c r="C2" t="s">
        <v>381</v>
      </c>
      <c r="D2" t="s">
        <v>382</v>
      </c>
      <c r="E2" t="s">
        <v>383</v>
      </c>
      <c r="F2" t="s">
        <v>384</v>
      </c>
      <c r="G2" t="s">
        <v>385</v>
      </c>
      <c r="H2" t="s">
        <v>386</v>
      </c>
      <c r="I2" t="s">
        <v>387</v>
      </c>
      <c r="J2" t="s">
        <v>388</v>
      </c>
      <c r="K2" t="s">
        <v>389</v>
      </c>
      <c r="L2" t="s">
        <v>390</v>
      </c>
      <c r="M2" t="s">
        <v>391</v>
      </c>
      <c r="N2" t="s">
        <v>392</v>
      </c>
      <c r="O2" t="s">
        <v>393</v>
      </c>
      <c r="Q2" s="205" t="e" vm="157">
        <v>#VALUE!</v>
      </c>
    </row>
    <row r="3" spans="2:24">
      <c r="B3">
        <v>1</v>
      </c>
      <c r="C3" t="s">
        <v>394</v>
      </c>
      <c r="D3" t="s">
        <v>395</v>
      </c>
      <c r="E3" t="s">
        <v>396</v>
      </c>
      <c r="F3" t="s">
        <v>397</v>
      </c>
      <c r="G3" t="str" cm="1">
        <f t="array" aca="1" ref="G3" ca="1">INDIRECT("DYN_Sel"&amp;Table7[[#This Row],[Box]],0)</f>
        <v>Planet Earth</v>
      </c>
      <c r="H3" t="str">
        <f ca="1">INDEX(Table7[[#This Row],[Text1]:[Text3]],1,MATCH(Table7[[#This Row],[TextSel]],Table7[[#This Row],[Text1]:[Text3]],0))</f>
        <v>Planet Earth</v>
      </c>
      <c r="I3">
        <f ca="1">IF(Table7[[#This Row],[TextSel]]=Table7[[#This Row],[Text1]],1,NA())</f>
        <v>1</v>
      </c>
      <c r="J3" t="e">
        <f ca="1">IF(Table7[[#This Row],[TextSel]]=Table7[[#This Row],[Text2]],1,NA())</f>
        <v>#N/A</v>
      </c>
      <c r="K3" t="e">
        <f ca="1">IF(Table7[[#This Row],[TextSel]]=Table7[[#This Row],[Text3]],1,NA())</f>
        <v>#N/A</v>
      </c>
      <c r="L3" t="s">
        <v>398</v>
      </c>
      <c r="M3" t="s">
        <v>399</v>
      </c>
      <c r="N3" t="s">
        <v>400</v>
      </c>
      <c r="O3" t="str">
        <f ca="1">INDEX(Table7[[#This Row],[Desc1]:[Desc3]],1,MATCH(Table7[[#This Row],[TextSel]],Table7[[#This Row],[Text1]:[Text3]],0))</f>
        <v>The Southern Resident orcas live in the Salish Sea, which is on the northeastern side of the Pacific Ocean.</v>
      </c>
    </row>
    <row r="4" spans="2:24">
      <c r="B4">
        <v>2</v>
      </c>
      <c r="C4" t="s">
        <v>401</v>
      </c>
      <c r="D4" t="s">
        <v>402</v>
      </c>
      <c r="E4" t="s">
        <v>403</v>
      </c>
      <c r="F4" t="s">
        <v>404</v>
      </c>
      <c r="G4" t="str" cm="1">
        <f t="array" aca="1" ref="G4" ca="1">INDIRECT("DYN_Sel"&amp;Table7[[#This Row],[Box]],0)</f>
        <v>Compared to a human</v>
      </c>
      <c r="H4" t="str">
        <f ca="1">INDEX(Table7[[#This Row],[Text1]:[Text3]],1,MATCH(Table7[[#This Row],[TextSel]],Table7[[#This Row],[Text1]:[Text3]],0))</f>
        <v>Compared to a human</v>
      </c>
      <c r="I4">
        <f ca="1">IF(Table7[[#This Row],[TextSel]]=Table7[[#This Row],[Text1]],1,NA())</f>
        <v>1</v>
      </c>
      <c r="J4" t="e">
        <f ca="1">IF(Table7[[#This Row],[TextSel]]=Table7[[#This Row],[Text2]],1,NA())</f>
        <v>#N/A</v>
      </c>
      <c r="K4" t="e">
        <f ca="1">IF(Table7[[#This Row],[TextSel]]=Table7[[#This Row],[Text3]],1,NA())</f>
        <v>#N/A</v>
      </c>
      <c r="L4" t="s">
        <v>405</v>
      </c>
      <c r="M4" t="s">
        <v>406</v>
      </c>
      <c r="N4" t="s">
        <v>407</v>
      </c>
      <c r="O4" t="str">
        <f ca="1">INDEX(Table7[[#This Row],[Desc1]:[Desc3]],1,MATCH(Table7[[#This Row],[TextSel]],Table7[[#This Row],[Text1]:[Text3]],0))</f>
        <v>Adult orcas can be up to 30-35 feet long. That is around the length of 5-6 adult humans standing on top of each other!</v>
      </c>
    </row>
    <row r="5" spans="2:24">
      <c r="B5">
        <v>3</v>
      </c>
      <c r="C5" t="s">
        <v>408</v>
      </c>
      <c r="D5" t="s">
        <v>409</v>
      </c>
      <c r="E5" t="s">
        <v>410</v>
      </c>
      <c r="F5" t="s">
        <v>411</v>
      </c>
      <c r="G5" t="str" cm="1">
        <f t="array" aca="1" ref="G5" ca="1">INDIRECT("DYN_Sel"&amp;Table7[[#This Row],[Box]],0)</f>
        <v>Echolocation</v>
      </c>
      <c r="H5" t="str">
        <f ca="1">INDEX(Table7[[#This Row],[Text1]:[Text3]],1,MATCH(Table7[[#This Row],[TextSel]],Table7[[#This Row],[Text1]:[Text3]],0))</f>
        <v>Echolocation</v>
      </c>
      <c r="I5">
        <f ca="1">IF(Table7[[#This Row],[TextSel]]=Table7[[#This Row],[Text1]],1,NA())</f>
        <v>1</v>
      </c>
      <c r="J5" t="e">
        <f ca="1">IF(Table7[[#This Row],[TextSel]]=Table7[[#This Row],[Text2]],1,NA())</f>
        <v>#N/A</v>
      </c>
      <c r="K5" t="e">
        <f ca="1">IF(Table7[[#This Row],[TextSel]]=Table7[[#This Row],[Text3]],1,NA())</f>
        <v>#N/A</v>
      </c>
      <c r="L5" t="s">
        <v>412</v>
      </c>
      <c r="M5" t="s">
        <v>413</v>
      </c>
      <c r="N5" t="s">
        <v>414</v>
      </c>
      <c r="O5" t="str">
        <f ca="1">INDEX(Table7[[#This Row],[Desc1]:[Desc3]],1,MATCH(Table7[[#This Row],[TextSel]],Table7[[#This Row],[Text1]:[Text3]],0))</f>
        <v>Orcas can create clicks that make sounds to bounce off of objects around them. They use this to help them locate fish to eat!</v>
      </c>
    </row>
    <row r="6" spans="2:24">
      <c r="B6">
        <v>4</v>
      </c>
      <c r="C6" t="s">
        <v>415</v>
      </c>
      <c r="D6" t="s">
        <v>416</v>
      </c>
      <c r="E6" t="s">
        <v>417</v>
      </c>
      <c r="F6" t="s">
        <v>418</v>
      </c>
      <c r="G6" t="str" cm="1">
        <f t="array" aca="1" ref="G6" ca="1">INDIRECT("DYN_Sel"&amp;Table7[[#This Row],[Box]],0)</f>
        <v>Dorsal fin size</v>
      </c>
      <c r="H6" t="str">
        <f ca="1">INDEX(Table7[[#This Row],[Text1]:[Text3]],1,MATCH(Table7[[#This Row],[TextSel]],Table7[[#This Row],[Text1]:[Text3]],0))</f>
        <v>Dorsal fin size</v>
      </c>
      <c r="I6">
        <f ca="1">IF(Table7[[#This Row],[TextSel]]=Table7[[#This Row],[Text1]],1,NA())</f>
        <v>1</v>
      </c>
      <c r="J6" t="e">
        <f ca="1">IF(Table7[[#This Row],[TextSel]]=Table7[[#This Row],[Text2]],1,NA())</f>
        <v>#N/A</v>
      </c>
      <c r="K6" t="e">
        <f ca="1">IF(Table7[[#This Row],[TextSel]]=Table7[[#This Row],[Text3]],0.5,NA())</f>
        <v>#N/A</v>
      </c>
      <c r="L6" t="s">
        <v>419</v>
      </c>
      <c r="M6" t="s">
        <v>420</v>
      </c>
      <c r="N6" t="s">
        <v>421</v>
      </c>
      <c r="O6" t="str">
        <f ca="1">INDEX(Table7[[#This Row],[Desc1]:[Desc3]],1,MATCH(Table7[[#This Row],[TextSel]],Table7[[#This Row],[Text1]:[Text3]],0))</f>
        <v>A picture of an orca's dorsal fin region can help identify who the given orca is. The male orcas typically have larger fins than females. Southern Resident orcas have more rounded tips than other populations of orcas.</v>
      </c>
    </row>
    <row r="8" spans="2:24">
      <c r="X8" t="s">
        <v>422</v>
      </c>
    </row>
    <row r="9" spans="2:24">
      <c r="X9" t="s">
        <v>423</v>
      </c>
    </row>
    <row r="10" spans="2:24">
      <c r="X10" t="s">
        <v>424</v>
      </c>
    </row>
  </sheetData>
  <phoneticPr fontId="1" type="noConversion"/>
  <pageMargins left="0.7" right="0.7" top="0.75" bottom="0.75" header="0.3" footer="0.3"/>
  <tableParts count="1">
    <tablePart r:id="rId1"/>
  </tableParts>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E4B01A-B707-41F9-8783-D1B7B5D5BB34}">
  <sheetPr codeName="Sheet17">
    <tabColor theme="9" tint="0.79998168889431442"/>
  </sheetPr>
  <dimension ref="B1:P63"/>
  <sheetViews>
    <sheetView workbookViewId="0">
      <selection activeCell="H20" sqref="H20:I21"/>
    </sheetView>
  </sheetViews>
  <sheetFormatPr defaultColWidth="8.875" defaultRowHeight="16.5"/>
  <sheetData>
    <row r="1" spans="2:16">
      <c r="D1" t="s">
        <v>425</v>
      </c>
      <c r="F1" t="s">
        <v>426</v>
      </c>
      <c r="H1" t="s">
        <v>427</v>
      </c>
      <c r="J1" t="s">
        <v>428</v>
      </c>
      <c r="L1" t="s">
        <v>429</v>
      </c>
    </row>
    <row r="2" spans="2:16">
      <c r="D2" t="e" vm="60">
        <v>#VALUE!</v>
      </c>
      <c r="F2" t="e" vm="72">
        <v>#VALUE!</v>
      </c>
      <c r="H2" t="e" vm="78">
        <v>#VALUE!</v>
      </c>
      <c r="J2" t="e" vm="93">
        <v>#VALUE!</v>
      </c>
      <c r="L2" t="e" vm="100">
        <v>#VALUE!</v>
      </c>
      <c r="P2" t="e" vm="59">
        <v>#VALUE!</v>
      </c>
    </row>
    <row r="3" spans="2:16">
      <c r="D3" t="e" vm="65">
        <v>#VALUE!</v>
      </c>
      <c r="F3" t="e" vm="76">
        <v>#VALUE!</v>
      </c>
      <c r="H3" t="e" vm="84">
        <v>#VALUE!</v>
      </c>
      <c r="J3" t="e" vm="97">
        <v>#VALUE!</v>
      </c>
      <c r="L3" t="e" vm="106">
        <v>#VALUE!</v>
      </c>
      <c r="P3" t="e" vm="60">
        <v>#VALUE!</v>
      </c>
    </row>
    <row r="4" spans="2:16">
      <c r="D4" t="e" vm="69">
        <v>#VALUE!</v>
      </c>
      <c r="F4" t="e" vm="78">
        <v>#VALUE!</v>
      </c>
      <c r="H4" t="e" vm="90">
        <v>#VALUE!</v>
      </c>
      <c r="J4" t="e" vm="101">
        <v>#VALUE!</v>
      </c>
      <c r="L4" t="e" vm="111">
        <v>#VALUE!</v>
      </c>
      <c r="P4" t="e" vm="61">
        <v>#VALUE!</v>
      </c>
    </row>
    <row r="5" spans="2:16">
      <c r="D5" t="e" vm="74">
        <v>#VALUE!</v>
      </c>
      <c r="F5" t="e" vm="79">
        <v>#VALUE!</v>
      </c>
      <c r="H5" t="e" vm="92">
        <v>#VALUE!</v>
      </c>
      <c r="J5" t="e" vm="103">
        <v>#VALUE!</v>
      </c>
      <c r="L5" t="e" vm="112">
        <v>#VALUE!</v>
      </c>
      <c r="P5" t="e" vm="63">
        <v>#VALUE!</v>
      </c>
    </row>
    <row r="6" spans="2:16">
      <c r="P6" t="e" vm="65">
        <v>#VALUE!</v>
      </c>
    </row>
    <row r="7" spans="2:16">
      <c r="P7" t="e" vm="67">
        <v>#VALUE!</v>
      </c>
    </row>
    <row r="8" spans="2:16">
      <c r="P8" t="e" vm="69">
        <v>#VALUE!</v>
      </c>
    </row>
    <row r="9" spans="2:16">
      <c r="P9" t="e" vm="70">
        <v>#VALUE!</v>
      </c>
    </row>
    <row r="10" spans="2:16">
      <c r="I10" t="s">
        <v>430</v>
      </c>
      <c r="J10" t="e">
        <f ca="1">IF(C11&lt;=2,1,NA())</f>
        <v>#N/A</v>
      </c>
      <c r="K10">
        <v>1</v>
      </c>
      <c r="P10" t="e" vm="71">
        <v>#VALUE!</v>
      </c>
    </row>
    <row r="11" spans="2:16">
      <c r="B11" t="e" vm="115">
        <v>#VALUE!</v>
      </c>
      <c r="C11">
        <f ca="1">'1. Introducing J pod'!$H$16</f>
        <v>10</v>
      </c>
      <c r="G11" t="str">
        <f t="shared" ref="G11:G12" si="0">H11&amp;" "&amp;I11</f>
        <v>Male Adolescent</v>
      </c>
      <c r="H11" t="s">
        <v>121</v>
      </c>
      <c r="I11" t="s">
        <v>431</v>
      </c>
      <c r="J11" t="e" cm="1">
        <f t="array" aca="1" ref="J11" ca="1">IF(AND($C$11&gt;2,$C$11&lt;=10,_FV($B$11,"Gender")="Male"),1,NA())</f>
        <v>#N/A</v>
      </c>
      <c r="K11">
        <v>1</v>
      </c>
      <c r="P11" t="e" vm="72">
        <v>#VALUE!</v>
      </c>
    </row>
    <row r="12" spans="2:16">
      <c r="G12" t="str">
        <f t="shared" si="0"/>
        <v>Male Adult</v>
      </c>
      <c r="H12" t="s">
        <v>121</v>
      </c>
      <c r="I12" t="s">
        <v>432</v>
      </c>
      <c r="J12" t="e" cm="1">
        <f t="array" aca="1" ref="J12" ca="1">IF(AND($C$11&gt;10,_FV($B$11,"Gender")="Male"),1,NA())</f>
        <v>#N/A</v>
      </c>
      <c r="K12">
        <v>1</v>
      </c>
      <c r="P12" t="e" vm="73">
        <v>#VALUE!</v>
      </c>
    </row>
    <row r="13" spans="2:16">
      <c r="G13" t="str">
        <f>H13&amp;" "&amp;I13</f>
        <v>Female Adolescent</v>
      </c>
      <c r="H13" t="s">
        <v>127</v>
      </c>
      <c r="I13" t="s">
        <v>431</v>
      </c>
      <c r="J13" cm="1">
        <f t="array" aca="1" ref="J13" ca="1">IF(AND($C$11&gt;2,$C$11&lt;=10,_FV($B$11,"Gender")="Female"),1,NA())</f>
        <v>1</v>
      </c>
      <c r="K13">
        <v>1</v>
      </c>
      <c r="P13" t="e" vm="74">
        <v>#VALUE!</v>
      </c>
    </row>
    <row r="14" spans="2:16">
      <c r="G14" t="str">
        <f>H14&amp;" "&amp;I14</f>
        <v>Female Adult</v>
      </c>
      <c r="H14" t="s">
        <v>127</v>
      </c>
      <c r="I14" t="s">
        <v>432</v>
      </c>
      <c r="J14" t="e" cm="1">
        <f t="array" aca="1" ref="J14" ca="1">IF(AND($C$11&gt;10,_FV($B$11,"Gender")="Female"),1,NA())</f>
        <v>#N/A</v>
      </c>
      <c r="K14">
        <v>1</v>
      </c>
      <c r="P14" t="e" vm="75">
        <v>#VALUE!</v>
      </c>
    </row>
    <row r="15" spans="2:16">
      <c r="B15" t="e" vm="97">
        <v>#VALUE!</v>
      </c>
      <c r="P15" t="e" vm="76">
        <v>#VALUE!</v>
      </c>
    </row>
    <row r="16" spans="2:16">
      <c r="P16" t="e" vm="77">
        <v>#VALUE!</v>
      </c>
    </row>
    <row r="17" spans="16:16">
      <c r="P17" t="e" vm="78">
        <v>#VALUE!</v>
      </c>
    </row>
    <row r="18" spans="16:16">
      <c r="P18" t="e" vm="79">
        <v>#VALUE!</v>
      </c>
    </row>
    <row r="19" spans="16:16">
      <c r="P19" t="e" vm="80">
        <v>#VALUE!</v>
      </c>
    </row>
    <row r="20" spans="16:16">
      <c r="P20" t="e" vm="81">
        <v>#VALUE!</v>
      </c>
    </row>
    <row r="21" spans="16:16">
      <c r="P21" t="e" vm="82">
        <v>#VALUE!</v>
      </c>
    </row>
    <row r="22" spans="16:16">
      <c r="P22" t="e" vm="83">
        <v>#VALUE!</v>
      </c>
    </row>
    <row r="23" spans="16:16">
      <c r="P23" t="e" vm="84">
        <v>#VALUE!</v>
      </c>
    </row>
    <row r="24" spans="16:16">
      <c r="P24" t="e" vm="85">
        <v>#VALUE!</v>
      </c>
    </row>
    <row r="25" spans="16:16">
      <c r="P25" t="e" vm="86">
        <v>#VALUE!</v>
      </c>
    </row>
    <row r="26" spans="16:16">
      <c r="P26" t="e" vm="87">
        <v>#VALUE!</v>
      </c>
    </row>
    <row r="27" spans="16:16">
      <c r="P27" t="e" vm="88">
        <v>#VALUE!</v>
      </c>
    </row>
    <row r="28" spans="16:16">
      <c r="P28" t="e" vm="89">
        <v>#VALUE!</v>
      </c>
    </row>
    <row r="29" spans="16:16">
      <c r="P29" t="e" vm="90">
        <v>#VALUE!</v>
      </c>
    </row>
    <row r="30" spans="16:16">
      <c r="P30" t="e" vm="91">
        <v>#VALUE!</v>
      </c>
    </row>
    <row r="31" spans="16:16">
      <c r="P31" t="e" vm="92">
        <v>#VALUE!</v>
      </c>
    </row>
    <row r="32" spans="16:16">
      <c r="P32" t="e" vm="93">
        <v>#VALUE!</v>
      </c>
    </row>
    <row r="33" spans="16:16">
      <c r="P33" t="e" vm="94">
        <v>#VALUE!</v>
      </c>
    </row>
    <row r="34" spans="16:16">
      <c r="P34" t="e" vm="95">
        <v>#VALUE!</v>
      </c>
    </row>
    <row r="35" spans="16:16">
      <c r="P35" t="e" vm="96">
        <v>#VALUE!</v>
      </c>
    </row>
    <row r="36" spans="16:16">
      <c r="P36" t="e" vm="97">
        <v>#VALUE!</v>
      </c>
    </row>
    <row r="37" spans="16:16">
      <c r="P37" t="e" vm="98">
        <v>#VALUE!</v>
      </c>
    </row>
    <row r="38" spans="16:16">
      <c r="P38" t="e" vm="99">
        <v>#VALUE!</v>
      </c>
    </row>
    <row r="39" spans="16:16">
      <c r="P39" t="e" vm="100">
        <v>#VALUE!</v>
      </c>
    </row>
    <row r="40" spans="16:16">
      <c r="P40" t="e" vm="101">
        <v>#VALUE!</v>
      </c>
    </row>
    <row r="41" spans="16:16">
      <c r="P41" t="e" vm="102">
        <v>#VALUE!</v>
      </c>
    </row>
    <row r="42" spans="16:16">
      <c r="P42" t="e" vm="103">
        <v>#VALUE!</v>
      </c>
    </row>
    <row r="43" spans="16:16">
      <c r="P43" t="e" vm="104">
        <v>#VALUE!</v>
      </c>
    </row>
    <row r="44" spans="16:16">
      <c r="P44" t="e" vm="105">
        <v>#VALUE!</v>
      </c>
    </row>
    <row r="45" spans="16:16">
      <c r="P45" t="e" vm="106">
        <v>#VALUE!</v>
      </c>
    </row>
    <row r="46" spans="16:16">
      <c r="P46" t="e" vm="107">
        <v>#VALUE!</v>
      </c>
    </row>
    <row r="47" spans="16:16">
      <c r="P47" t="e" vm="108">
        <v>#VALUE!</v>
      </c>
    </row>
    <row r="48" spans="16:16">
      <c r="P48" t="e" vm="109">
        <v>#VALUE!</v>
      </c>
    </row>
    <row r="49" spans="16:16">
      <c r="P49" t="e" vm="110">
        <v>#VALUE!</v>
      </c>
    </row>
    <row r="50" spans="16:16">
      <c r="P50" t="e" vm="111">
        <v>#VALUE!</v>
      </c>
    </row>
    <row r="51" spans="16:16">
      <c r="P51" t="e" vm="112">
        <v>#VALUE!</v>
      </c>
    </row>
    <row r="52" spans="16:16">
      <c r="P52" t="e" vm="113">
        <v>#VALUE!</v>
      </c>
    </row>
    <row r="53" spans="16:16">
      <c r="P53" t="e" vm="114">
        <v>#VALUE!</v>
      </c>
    </row>
    <row r="54" spans="16:16">
      <c r="P54" t="e" vm="115">
        <v>#VALUE!</v>
      </c>
    </row>
    <row r="55" spans="16:16">
      <c r="P55" t="e" vm="116">
        <v>#VALUE!</v>
      </c>
    </row>
    <row r="56" spans="16:16">
      <c r="P56" t="e" vm="117">
        <v>#VALUE!</v>
      </c>
    </row>
    <row r="57" spans="16:16">
      <c r="P57" t="e" vm="118">
        <v>#VALUE!</v>
      </c>
    </row>
    <row r="58" spans="16:16">
      <c r="P58" t="e" vm="119">
        <v>#VALUE!</v>
      </c>
    </row>
    <row r="59" spans="16:16">
      <c r="P59" t="e" vm="120">
        <v>#VALUE!</v>
      </c>
    </row>
    <row r="60" spans="16:16">
      <c r="P60" t="e" vm="121">
        <v>#VALUE!</v>
      </c>
    </row>
    <row r="61" spans="16:16">
      <c r="P61" t="e" vm="122">
        <v>#VALUE!</v>
      </c>
    </row>
    <row r="62" spans="16:16">
      <c r="P62" t="e" vm="123">
        <v>#VALUE!</v>
      </c>
    </row>
    <row r="63" spans="16:16">
      <c r="P63" t="e" vm="124">
        <v>#VALUE!</v>
      </c>
    </row>
  </sheetData>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F89BCC-6EEC-42C3-88DB-B05A1F7C60D3}">
  <sheetPr codeName="Sheet13">
    <tabColor theme="9" tint="0.79998168889431442"/>
  </sheetPr>
  <dimension ref="B3:Q33"/>
  <sheetViews>
    <sheetView workbookViewId="0">
      <selection activeCell="A2" sqref="A2:XFD3"/>
    </sheetView>
  </sheetViews>
  <sheetFormatPr defaultColWidth="8.875" defaultRowHeight="16.5"/>
  <cols>
    <col min="3" max="6" width="26.375" customWidth="1"/>
    <col min="7" max="8" width="23" customWidth="1"/>
    <col min="20" max="20" width="3.125" customWidth="1"/>
    <col min="25" max="25" width="32.25" bestFit="1" customWidth="1"/>
    <col min="26" max="26" width="35" bestFit="1" customWidth="1"/>
    <col min="27" max="27" width="40.125" bestFit="1" customWidth="1"/>
  </cols>
  <sheetData>
    <row r="3" spans="2:17">
      <c r="P3" t="s">
        <v>0</v>
      </c>
      <c r="Q3" t="s">
        <v>433</v>
      </c>
    </row>
    <row r="4" spans="2:17">
      <c r="B4" t="s">
        <v>108</v>
      </c>
      <c r="C4" t="s">
        <v>434</v>
      </c>
      <c r="D4" t="s">
        <v>435</v>
      </c>
      <c r="E4" t="s">
        <v>436</v>
      </c>
      <c r="F4" t="s">
        <v>437</v>
      </c>
      <c r="G4" t="s">
        <v>438</v>
      </c>
      <c r="H4" t="s">
        <v>439</v>
      </c>
      <c r="I4" t="s">
        <v>440</v>
      </c>
      <c r="J4" t="s">
        <v>441</v>
      </c>
      <c r="M4" t="e" vm="157">
        <v>#VALUE!</v>
      </c>
      <c r="P4" t="e" vm="157">
        <v>#VALUE!</v>
      </c>
      <c r="Q4">
        <f>IF(Table17[[#This Row],[Animals]]=Sel_P3_1,1,NA())</f>
        <v>1</v>
      </c>
    </row>
    <row r="5" spans="2:17">
      <c r="B5" t="s">
        <v>22</v>
      </c>
      <c r="C5" t="s">
        <v>442</v>
      </c>
      <c r="D5" t="s">
        <v>443</v>
      </c>
      <c r="E5" t="s">
        <v>444</v>
      </c>
      <c r="F5">
        <f>'4. Activity - Orca taxonomy'!$AB$21</f>
        <v>0</v>
      </c>
      <c r="G5" t="str" cm="1">
        <f t="array" ref="G5">INDEX(Table3[[#This Row],[Option1]:[Option3]],Table3[[#This Row],[Answer numb]])</f>
        <v>Is a plant</v>
      </c>
      <c r="H5">
        <v>2</v>
      </c>
      <c r="I5" t="b">
        <f>Table3[[#This Row],[Input]]=Table3[[#This Row],[Answer]]</f>
        <v>0</v>
      </c>
      <c r="J5" t="str">
        <f>IF(Table3[[#This Row],[Input]]=0,"",IF(Table3[[#This Row],[Correct]],"Nice job!","Try again!"))</f>
        <v/>
      </c>
      <c r="M5" t="e" vm="158">
        <v>#VALUE!</v>
      </c>
      <c r="P5" t="e" vm="159">
        <v>#VALUE!</v>
      </c>
      <c r="Q5" t="e">
        <f>IF(Table17[[#This Row],[Animals]]=Sel_P3_1,1,NA())</f>
        <v>#N/A</v>
      </c>
    </row>
    <row r="6" spans="2:17">
      <c r="B6" t="s">
        <v>23</v>
      </c>
      <c r="C6" t="s">
        <v>445</v>
      </c>
      <c r="D6" t="s">
        <v>446</v>
      </c>
      <c r="E6" t="s">
        <v>447</v>
      </c>
      <c r="F6">
        <f>'4. Activity - Orca taxonomy'!$X$27</f>
        <v>0</v>
      </c>
      <c r="G6" t="str" cm="1">
        <f t="array" ref="G6">INDEX(Table3[[#This Row],[Option1]:[Option3]],Table3[[#This Row],[Answer numb]])</f>
        <v>Has exterior skeleton</v>
      </c>
      <c r="H6">
        <v>1</v>
      </c>
      <c r="I6" t="b">
        <f>Table3[[#This Row],[Input]]=Table3[[#This Row],[Answer]]</f>
        <v>0</v>
      </c>
      <c r="J6" t="str">
        <f>IF(Table3[[#This Row],[Input]]=0,"",IF(Table3[[#This Row],[Correct]],"Nice job!","Try again!"))</f>
        <v/>
      </c>
      <c r="P6" t="e" vm="160">
        <v>#VALUE!</v>
      </c>
      <c r="Q6" t="e">
        <f>IF(Table17[[#This Row],[Animals]]=Sel_P3_1,1,NA())</f>
        <v>#N/A</v>
      </c>
    </row>
    <row r="7" spans="2:17">
      <c r="B7" t="s">
        <v>24</v>
      </c>
      <c r="C7" t="s">
        <v>448</v>
      </c>
      <c r="D7" t="s">
        <v>449</v>
      </c>
      <c r="E7" t="s">
        <v>450</v>
      </c>
      <c r="F7">
        <f>'4. Activity - Orca taxonomy'!$S$33</f>
        <v>0</v>
      </c>
      <c r="G7" t="str" cm="1">
        <f t="array" ref="G7">INDEX(Table3[[#This Row],[Option1]:[Option3]],Table3[[#This Row],[Answer numb]])</f>
        <v>Lays eggs, no nursing</v>
      </c>
      <c r="H7">
        <v>3</v>
      </c>
      <c r="I7" t="b">
        <f>Table3[[#This Row],[Input]]=Table3[[#This Row],[Answer]]</f>
        <v>0</v>
      </c>
      <c r="J7" t="str">
        <f>IF(Table3[[#This Row],[Input]]=0,"",IF(Table3[[#This Row],[Correct]],"Nice job!","Try again!"))</f>
        <v/>
      </c>
      <c r="P7" t="e" vm="161">
        <v>#VALUE!</v>
      </c>
      <c r="Q7" t="e">
        <f>IF(Table17[[#This Row],[Animals]]=Sel_P3_1,1,NA())</f>
        <v>#N/A</v>
      </c>
    </row>
    <row r="8" spans="2:17">
      <c r="B8" t="s">
        <v>25</v>
      </c>
      <c r="C8" t="s">
        <v>451</v>
      </c>
      <c r="D8" t="s">
        <v>452</v>
      </c>
      <c r="E8" t="s">
        <v>453</v>
      </c>
      <c r="F8">
        <f>'4. Activity - Orca taxonomy'!$O$39</f>
        <v>0</v>
      </c>
      <c r="G8" t="str" cm="1">
        <f t="array" ref="G8">INDEX(Table3[[#This Row],[Option1]:[Option3]],Table3[[#This Row],[Answer numb]])</f>
        <v>Lives on land and sea</v>
      </c>
      <c r="H8">
        <v>1</v>
      </c>
      <c r="I8" t="b">
        <f>Table3[[#This Row],[Input]]=Table3[[#This Row],[Answer]]</f>
        <v>0</v>
      </c>
      <c r="J8" t="str">
        <f>IF(Table3[[#This Row],[Input]]=0,"",IF(Table3[[#This Row],[Correct]],"Nice job!","Try again!"))</f>
        <v/>
      </c>
      <c r="P8" t="e" vm="162">
        <v>#VALUE!</v>
      </c>
      <c r="Q8" t="e">
        <f>IF(Table17[[#This Row],[Animals]]=Sel_P3_1,1,NA())</f>
        <v>#N/A</v>
      </c>
    </row>
    <row r="9" spans="2:17">
      <c r="B9" t="s">
        <v>26</v>
      </c>
      <c r="C9" t="s">
        <v>454</v>
      </c>
      <c r="D9" t="s">
        <v>455</v>
      </c>
      <c r="E9" t="s">
        <v>448</v>
      </c>
      <c r="F9">
        <f>'4. Activity - Orca taxonomy'!$K$45</f>
        <v>0</v>
      </c>
      <c r="G9" t="str" cm="1">
        <f t="array" ref="G9">INDEX(Table3[[#This Row],[Option1]:[Option3]],Table3[[#This Row],[Answer numb]])</f>
        <v>Is not a dolphin</v>
      </c>
      <c r="H9">
        <v>2</v>
      </c>
      <c r="I9" t="b">
        <f>Table3[[#This Row],[Input]]=Table3[[#This Row],[Answer]]</f>
        <v>0</v>
      </c>
      <c r="J9" t="str">
        <f>IF(Table3[[#This Row],[Input]]=0,"",IF(Table3[[#This Row],[Correct]],"Nice job!","Try again!"))</f>
        <v/>
      </c>
      <c r="P9" t="e" vm="163">
        <v>#VALUE!</v>
      </c>
      <c r="Q9" t="e">
        <f>IF(Table17[[#This Row],[Animals]]=Sel_P3_1,1,NA())</f>
        <v>#N/A</v>
      </c>
    </row>
    <row r="10" spans="2:17">
      <c r="B10" t="s">
        <v>27</v>
      </c>
      <c r="C10" t="s">
        <v>456</v>
      </c>
      <c r="D10" t="s">
        <v>457</v>
      </c>
      <c r="E10" t="s">
        <v>458</v>
      </c>
      <c r="F10">
        <f>'4. Activity - Orca taxonomy'!$I$51</f>
        <v>0</v>
      </c>
      <c r="G10" t="str" cm="1">
        <f t="array" ref="G10">INDEX(Table3[[#This Row],[Option1]:[Option3]],Table3[[#This Row],[Answer numb]])</f>
        <v>Not an Orcinus dolphin</v>
      </c>
      <c r="H10">
        <v>1</v>
      </c>
      <c r="I10" t="b">
        <f>Table3[[#This Row],[Input]]=Table3[[#This Row],[Answer]]</f>
        <v>0</v>
      </c>
      <c r="J10" t="str">
        <f>IF(Table3[[#This Row],[Input]]=0,"",IF(Table3[[#This Row],[Correct]],"Nice job!","Try again!"))</f>
        <v/>
      </c>
      <c r="P10" t="e" vm="164">
        <v>#VALUE!</v>
      </c>
      <c r="Q10" t="e">
        <f>IF(Table17[[#This Row],[Animals]]=Sel_P3_1,1,NA())</f>
        <v>#N/A</v>
      </c>
    </row>
    <row r="11" spans="2:17">
      <c r="B11" t="s">
        <v>28</v>
      </c>
      <c r="C11" t="s">
        <v>459</v>
      </c>
      <c r="D11" t="s">
        <v>460</v>
      </c>
      <c r="E11" t="s">
        <v>461</v>
      </c>
      <c r="F11">
        <f>'4. Activity - Orca taxonomy'!$I$63</f>
        <v>0</v>
      </c>
      <c r="G11" t="str" cm="1">
        <f t="array" ref="G11">INDEX(Table3[[#This Row],[Option1]:[Option3]],Table3[[#This Row],[Answer numb]])</f>
        <v>Only orca species</v>
      </c>
      <c r="H11">
        <v>3</v>
      </c>
      <c r="I11" t="b">
        <f>Table3[[#This Row],[Input]]=Table3[[#This Row],[Answer]]</f>
        <v>0</v>
      </c>
      <c r="J11" t="str">
        <f>IF(Table3[[#This Row],[Input]]=0,"",IF(Table3[[#This Row],[Correct]],"Nice job!","Try again!"))</f>
        <v/>
      </c>
      <c r="P11" t="e" vm="165">
        <v>#VALUE!</v>
      </c>
      <c r="Q11" t="e">
        <f>IF(Table17[[#This Row],[Animals]]=Sel_P3_1,1,NA())</f>
        <v>#N/A</v>
      </c>
    </row>
    <row r="12" spans="2:17">
      <c r="P12" t="e" vm="166">
        <v>#VALUE!</v>
      </c>
      <c r="Q12" t="e">
        <f>IF(Table17[[#This Row],[Animals]]=Sel_P3_1,1,NA())</f>
        <v>#N/A</v>
      </c>
    </row>
    <row r="13" spans="2:17">
      <c r="P13" t="e" vm="167">
        <v>#VALUE!</v>
      </c>
      <c r="Q13" t="e">
        <f>IF(Table17[[#This Row],[Animals]]=Sel_P3_1,1,NA())</f>
        <v>#N/A</v>
      </c>
    </row>
    <row r="14" spans="2:17">
      <c r="P14" t="e" vm="158">
        <v>#VALUE!</v>
      </c>
      <c r="Q14" t="e">
        <f>IF(Table17[[#This Row],[Animals]]=Sel_P3_1,1,NA())</f>
        <v>#N/A</v>
      </c>
    </row>
    <row r="15" spans="2:17" ht="17.25" customHeight="1"/>
    <row r="16" spans="2:17" ht="17.25" customHeight="1"/>
    <row r="17" spans="3:9" ht="17.25" customHeight="1"/>
    <row r="18" spans="3:9" ht="17.25" customHeight="1"/>
    <row r="19" spans="3:9" ht="18.75" customHeight="1"/>
    <row r="32" spans="3:9">
      <c r="C32" s="35"/>
      <c r="D32" s="35"/>
      <c r="E32" s="35"/>
      <c r="F32" s="35"/>
      <c r="G32" s="35"/>
      <c r="H32" s="35"/>
      <c r="I32" s="35"/>
    </row>
    <row r="33" spans="3:9">
      <c r="C33" s="35"/>
      <c r="D33" s="35"/>
      <c r="E33" s="35"/>
      <c r="F33" s="35"/>
      <c r="G33" s="35"/>
      <c r="H33" s="35"/>
      <c r="I33" s="35"/>
    </row>
  </sheetData>
  <phoneticPr fontId="1" type="noConversion"/>
  <conditionalFormatting sqref="C5:E11">
    <cfRule type="expression" dxfId="21" priority="1">
      <formula>LEN(C5)&gt;22</formula>
    </cfRule>
  </conditionalFormatting>
  <pageMargins left="0.7" right="0.7" top="0.75" bottom="0.75" header="0.3" footer="0.3"/>
  <pageSetup orientation="portrait" verticalDpi="300" r:id="rId1"/>
  <tableParts count="2">
    <tablePart r:id="rId2"/>
    <tablePart r:id="rId3"/>
  </tableParts>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606642-80EC-4CFF-AE5F-D7FC3E2D02B1}">
  <sheetPr codeName="Sheet11">
    <tabColor theme="9" tint="0.79998168889431442"/>
  </sheetPr>
  <dimension ref="B2:I11"/>
  <sheetViews>
    <sheetView workbookViewId="0">
      <selection activeCell="H20" sqref="H20:I21"/>
    </sheetView>
  </sheetViews>
  <sheetFormatPr defaultColWidth="8.875" defaultRowHeight="16.5"/>
  <cols>
    <col min="2" max="2" width="15.375" customWidth="1"/>
    <col min="3" max="3" width="18.125" customWidth="1"/>
    <col min="4" max="4" width="28.125" customWidth="1"/>
    <col min="8" max="8" width="11.125" customWidth="1"/>
  </cols>
  <sheetData>
    <row r="2" spans="2:9">
      <c r="B2" t="s">
        <v>462</v>
      </c>
      <c r="C2" t="s">
        <v>463</v>
      </c>
      <c r="D2" t="s">
        <v>464</v>
      </c>
      <c r="H2" t="s">
        <v>3</v>
      </c>
      <c r="I2" t="s">
        <v>465</v>
      </c>
    </row>
    <row r="3" spans="2:9" ht="31.5" customHeight="1">
      <c r="B3">
        <v>1</v>
      </c>
      <c r="C3" t="s">
        <v>466</v>
      </c>
      <c r="D3" t="s">
        <v>467</v>
      </c>
      <c r="H3" t="e" vm="125">
        <v>#VALUE!</v>
      </c>
      <c r="I3" t="e">
        <f>IF('5.Finding J Pod'!$D$17=Table19[[#This Row],[Locations]],1,NA())</f>
        <v>#N/A</v>
      </c>
    </row>
    <row r="4" spans="2:9">
      <c r="B4">
        <v>2</v>
      </c>
      <c r="C4" t="s">
        <v>468</v>
      </c>
      <c r="D4" t="s">
        <v>469</v>
      </c>
      <c r="H4" t="e" vm="126">
        <v>#VALUE!</v>
      </c>
      <c r="I4" t="e">
        <f>IF('5.Finding J Pod'!$D$17=Table19[[#This Row],[Locations]],1,NA())</f>
        <v>#N/A</v>
      </c>
    </row>
    <row r="5" spans="2:9">
      <c r="B5">
        <v>3</v>
      </c>
      <c r="C5" t="s">
        <v>470</v>
      </c>
      <c r="D5" t="s">
        <v>471</v>
      </c>
      <c r="H5" t="e" vm="127">
        <v>#VALUE!</v>
      </c>
      <c r="I5" t="e">
        <f>IF('5.Finding J Pod'!$D$17=Table19[[#This Row],[Locations]],1,NA())</f>
        <v>#N/A</v>
      </c>
    </row>
    <row r="6" spans="2:9">
      <c r="B6">
        <v>4</v>
      </c>
      <c r="C6" t="s">
        <v>472</v>
      </c>
      <c r="D6" t="s">
        <v>473</v>
      </c>
      <c r="H6" t="e" vm="128">
        <v>#VALUE!</v>
      </c>
      <c r="I6" t="e">
        <f>IF('5.Finding J Pod'!$D$17=Table19[[#This Row],[Locations]],1,NA())</f>
        <v>#N/A</v>
      </c>
    </row>
    <row r="7" spans="2:9">
      <c r="B7">
        <v>5</v>
      </c>
      <c r="C7" t="s">
        <v>474</v>
      </c>
      <c r="D7" t="s">
        <v>475</v>
      </c>
      <c r="H7" t="e" vm="129">
        <v>#VALUE!</v>
      </c>
      <c r="I7">
        <f>IF('5.Finding J Pod'!$D$17=Table19[[#This Row],[Locations]],1,NA())</f>
        <v>1</v>
      </c>
    </row>
    <row r="10" spans="2:9">
      <c r="B10">
        <f>SUM(SightingTable[Latitude])</f>
        <v>0</v>
      </c>
    </row>
    <row r="11" spans="2:9">
      <c r="B11">
        <f>SUM(SightingTable[Longitude])</f>
        <v>0</v>
      </c>
    </row>
  </sheetData>
  <pageMargins left="0.7" right="0.7" top="0.75" bottom="0.75" header="0.3" footer="0.3"/>
  <tableParts count="2">
    <tablePart r:id="rId1"/>
    <tablePart r:id="rId2"/>
  </tableParts>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C719FD-FC29-414A-BD8E-7D2A46DD09EE}">
  <sheetPr codeName="Sheet1">
    <tabColor theme="6" tint="0.79998168889431442"/>
  </sheetPr>
  <dimension ref="A1:P22"/>
  <sheetViews>
    <sheetView showGridLines="0" tabSelected="1" zoomScaleNormal="100" workbookViewId="0">
      <selection activeCell="C2" sqref="C2"/>
    </sheetView>
  </sheetViews>
  <sheetFormatPr defaultColWidth="0" defaultRowHeight="14.45" zeroHeight="1"/>
  <cols>
    <col min="1" max="1" width="0.25" style="167" customWidth="1"/>
    <col min="2" max="2" width="1.625" style="44" customWidth="1"/>
    <col min="3" max="9" width="11.25" style="44" customWidth="1"/>
    <col min="10" max="10" width="5.5" style="44" customWidth="1"/>
    <col min="11" max="15" width="11.25" style="44" customWidth="1"/>
    <col min="16" max="16" width="1.875" style="44" customWidth="1"/>
    <col min="17" max="16384" width="9" style="44" hidden="1"/>
  </cols>
  <sheetData>
    <row r="1" spans="1:16" ht="15" customHeight="1">
      <c r="A1" s="181" t="s">
        <v>476</v>
      </c>
      <c r="B1" s="165"/>
      <c r="C1" s="71"/>
      <c r="D1" s="71"/>
      <c r="E1" s="71"/>
      <c r="F1" s="71"/>
      <c r="G1" s="71"/>
      <c r="H1" s="71"/>
      <c r="I1" s="71"/>
      <c r="J1" s="71"/>
      <c r="K1" s="71"/>
      <c r="L1" s="71"/>
      <c r="M1" s="71"/>
      <c r="N1" s="71"/>
      <c r="O1" s="71"/>
      <c r="P1" s="71"/>
    </row>
    <row r="2" spans="1:16" ht="15" customHeight="1">
      <c r="A2" s="166" t="s">
        <v>477</v>
      </c>
      <c r="B2" s="165"/>
      <c r="C2" s="71"/>
      <c r="D2" s="71"/>
      <c r="E2" s="71"/>
      <c r="F2" s="71"/>
      <c r="G2" s="71"/>
      <c r="H2" s="71"/>
      <c r="I2" s="71"/>
      <c r="J2" s="71"/>
      <c r="K2" s="71"/>
      <c r="L2" s="71"/>
      <c r="M2" s="71"/>
      <c r="N2" s="71"/>
      <c r="O2" s="71"/>
      <c r="P2" s="71"/>
    </row>
    <row r="3" spans="1:16" ht="26.25" customHeight="1">
      <c r="A3" s="166" t="s">
        <v>478</v>
      </c>
      <c r="B3" s="165"/>
      <c r="C3" s="213" t="s">
        <v>479</v>
      </c>
      <c r="D3" s="213"/>
      <c r="E3" s="213"/>
      <c r="F3" s="213"/>
      <c r="G3" s="213"/>
      <c r="H3" s="213"/>
      <c r="I3" s="213"/>
      <c r="J3" s="71"/>
      <c r="K3" s="71"/>
      <c r="L3" s="71"/>
      <c r="M3" s="71"/>
      <c r="N3" s="71"/>
      <c r="O3" s="71"/>
      <c r="P3" s="71"/>
    </row>
    <row r="4" spans="1:16" ht="22.5" customHeight="1">
      <c r="A4" s="166" t="s">
        <v>480</v>
      </c>
      <c r="B4" s="165"/>
      <c r="C4" s="457" t="s">
        <v>481</v>
      </c>
      <c r="D4" s="457"/>
      <c r="E4" s="457"/>
      <c r="F4" s="457"/>
      <c r="G4" s="457"/>
      <c r="H4" s="457"/>
      <c r="I4" s="457"/>
      <c r="J4" s="71"/>
      <c r="K4" s="71"/>
      <c r="L4" s="71"/>
      <c r="M4" s="71"/>
      <c r="N4" s="71"/>
      <c r="O4" s="71"/>
      <c r="P4" s="71"/>
    </row>
    <row r="5" spans="1:16" ht="18.75" customHeight="1">
      <c r="A5" s="166" t="s">
        <v>482</v>
      </c>
      <c r="B5" s="165"/>
      <c r="C5" s="71"/>
      <c r="D5" s="71"/>
      <c r="E5" s="71"/>
      <c r="F5" s="71"/>
      <c r="G5" s="71"/>
      <c r="H5" s="71"/>
      <c r="I5" s="71"/>
      <c r="J5" s="71"/>
      <c r="K5" s="71"/>
      <c r="L5" s="71"/>
      <c r="M5" s="71"/>
      <c r="N5" s="71"/>
      <c r="O5" s="71"/>
      <c r="P5" s="71"/>
    </row>
    <row r="6" spans="1:16" ht="18.75" customHeight="1">
      <c r="A6" s="166" t="s">
        <v>483</v>
      </c>
      <c r="B6" s="165"/>
      <c r="C6" s="212" t="s">
        <v>484</v>
      </c>
      <c r="D6" s="212"/>
      <c r="E6" s="212"/>
      <c r="F6" s="212"/>
      <c r="G6" s="212"/>
      <c r="H6" s="212"/>
      <c r="I6" s="71"/>
      <c r="J6" s="71"/>
      <c r="K6" s="71"/>
      <c r="L6" s="71"/>
      <c r="M6" s="71"/>
      <c r="N6" s="71"/>
      <c r="O6" s="71"/>
      <c r="P6" s="71"/>
    </row>
    <row r="7" spans="1:16" ht="18.75" customHeight="1">
      <c r="A7" s="166" t="s">
        <v>485</v>
      </c>
      <c r="B7" s="165"/>
      <c r="C7" s="212"/>
      <c r="D7" s="212"/>
      <c r="E7" s="212"/>
      <c r="F7" s="212"/>
      <c r="G7" s="212"/>
      <c r="H7" s="212"/>
      <c r="I7" s="71"/>
      <c r="J7" s="71"/>
      <c r="K7" s="71"/>
      <c r="L7" s="71"/>
      <c r="M7" s="71"/>
      <c r="N7" s="71"/>
      <c r="O7" s="71"/>
      <c r="P7" s="71"/>
    </row>
    <row r="8" spans="1:16" ht="18.75" customHeight="1">
      <c r="A8" s="182" t="s">
        <v>486</v>
      </c>
      <c r="B8" s="165"/>
      <c r="C8" s="212"/>
      <c r="D8" s="212"/>
      <c r="E8" s="212"/>
      <c r="F8" s="212"/>
      <c r="G8" s="212"/>
      <c r="H8" s="212"/>
      <c r="I8" s="71"/>
      <c r="J8" s="71"/>
      <c r="K8" s="71"/>
      <c r="L8" s="71"/>
      <c r="M8" s="71"/>
      <c r="N8" s="71"/>
      <c r="O8" s="71"/>
      <c r="P8" s="71"/>
    </row>
    <row r="9" spans="1:16" ht="18.75" customHeight="1">
      <c r="A9" s="166"/>
      <c r="B9" s="165"/>
      <c r="C9" s="212"/>
      <c r="D9" s="212"/>
      <c r="E9" s="212"/>
      <c r="F9" s="212"/>
      <c r="G9" s="212"/>
      <c r="H9" s="212"/>
      <c r="I9" s="71"/>
      <c r="J9" s="71"/>
      <c r="K9" s="71"/>
      <c r="L9" s="71"/>
      <c r="M9" s="71"/>
      <c r="N9" s="71"/>
      <c r="O9" s="71"/>
      <c r="P9" s="71"/>
    </row>
    <row r="10" spans="1:16" ht="18.75" customHeight="1">
      <c r="A10" s="166"/>
      <c r="B10" s="165"/>
      <c r="C10" s="212"/>
      <c r="D10" s="212"/>
      <c r="E10" s="212"/>
      <c r="F10" s="212"/>
      <c r="G10" s="212"/>
      <c r="H10" s="212"/>
      <c r="I10" s="71"/>
      <c r="J10" s="71"/>
      <c r="K10" s="71"/>
      <c r="L10" s="71"/>
      <c r="M10" s="71"/>
      <c r="N10" s="71"/>
      <c r="O10" s="71"/>
      <c r="P10" s="71"/>
    </row>
    <row r="11" spans="1:16" ht="18.75" customHeight="1">
      <c r="A11" s="166"/>
      <c r="B11" s="165"/>
      <c r="C11" s="212"/>
      <c r="D11" s="212"/>
      <c r="E11" s="212"/>
      <c r="F11" s="212"/>
      <c r="G11" s="212"/>
      <c r="H11" s="212"/>
      <c r="I11" s="71"/>
      <c r="J11" s="71"/>
      <c r="K11" s="71"/>
      <c r="L11" s="71"/>
      <c r="M11" s="71"/>
      <c r="N11" s="71"/>
      <c r="O11" s="71"/>
      <c r="P11" s="71"/>
    </row>
    <row r="12" spans="1:16" ht="18.75" customHeight="1">
      <c r="A12" s="166"/>
      <c r="B12" s="165"/>
      <c r="C12" s="212"/>
      <c r="D12" s="212"/>
      <c r="E12" s="212"/>
      <c r="F12" s="212"/>
      <c r="G12" s="212"/>
      <c r="H12" s="212"/>
      <c r="I12" s="71"/>
      <c r="J12" s="71"/>
      <c r="K12" s="71"/>
      <c r="L12" s="71"/>
      <c r="M12" s="71"/>
      <c r="N12" s="71"/>
      <c r="O12" s="71"/>
      <c r="P12" s="71"/>
    </row>
    <row r="13" spans="1:16" ht="18.75" customHeight="1">
      <c r="A13" s="166"/>
      <c r="B13" s="165"/>
      <c r="C13" s="212"/>
      <c r="D13" s="212"/>
      <c r="E13" s="212"/>
      <c r="F13" s="212"/>
      <c r="G13" s="212"/>
      <c r="H13" s="212"/>
      <c r="I13" s="71"/>
      <c r="J13" s="71"/>
      <c r="K13" s="71"/>
      <c r="L13" s="71"/>
      <c r="M13" s="71"/>
      <c r="N13" s="71"/>
      <c r="O13" s="71"/>
      <c r="P13" s="71"/>
    </row>
    <row r="14" spans="1:16" ht="18.75" customHeight="1">
      <c r="A14" s="166"/>
      <c r="B14" s="165"/>
      <c r="C14" s="212"/>
      <c r="D14" s="212"/>
      <c r="E14" s="212"/>
      <c r="F14" s="212"/>
      <c r="G14" s="212"/>
      <c r="H14" s="212"/>
      <c r="I14" s="71"/>
      <c r="J14" s="71"/>
      <c r="K14" s="71"/>
      <c r="L14" s="71"/>
      <c r="M14" s="71"/>
      <c r="N14" s="71"/>
      <c r="O14" s="71"/>
      <c r="P14" s="71"/>
    </row>
    <row r="15" spans="1:16" ht="18.75" customHeight="1">
      <c r="A15" s="166"/>
      <c r="B15" s="165"/>
      <c r="C15" s="212"/>
      <c r="D15" s="212"/>
      <c r="E15" s="212"/>
      <c r="F15" s="212"/>
      <c r="G15" s="212"/>
      <c r="H15" s="212"/>
      <c r="I15" s="71"/>
      <c r="J15" s="71"/>
      <c r="K15" s="71"/>
      <c r="L15" s="71"/>
      <c r="M15" s="71"/>
      <c r="N15" s="71"/>
      <c r="O15" s="71"/>
      <c r="P15" s="71"/>
    </row>
    <row r="16" spans="1:16" ht="18.75" customHeight="1">
      <c r="A16" s="166"/>
      <c r="B16" s="165"/>
      <c r="C16" s="212"/>
      <c r="D16" s="212"/>
      <c r="E16" s="212"/>
      <c r="F16" s="212"/>
      <c r="G16" s="212"/>
      <c r="H16" s="212"/>
      <c r="I16" s="71"/>
      <c r="J16" s="71"/>
      <c r="K16" s="71"/>
      <c r="L16" s="71"/>
      <c r="M16" s="71"/>
      <c r="N16" s="71"/>
      <c r="O16" s="71"/>
      <c r="P16" s="71"/>
    </row>
    <row r="17" spans="1:16" ht="18.75" customHeight="1">
      <c r="A17" s="166"/>
      <c r="B17" s="165"/>
      <c r="C17" s="212"/>
      <c r="D17" s="212"/>
      <c r="E17" s="212"/>
      <c r="F17" s="212"/>
      <c r="G17" s="212"/>
      <c r="H17" s="212"/>
      <c r="I17" s="71"/>
      <c r="J17" s="71"/>
      <c r="K17" s="71"/>
      <c r="L17" s="71"/>
      <c r="M17" s="71"/>
      <c r="N17" s="71"/>
      <c r="O17" s="71"/>
      <c r="P17" s="71"/>
    </row>
    <row r="18" spans="1:16" ht="18.75" customHeight="1">
      <c r="A18" s="166"/>
      <c r="B18" s="71"/>
      <c r="C18" s="212"/>
      <c r="D18" s="212"/>
      <c r="E18" s="212"/>
      <c r="F18" s="212"/>
      <c r="G18" s="212"/>
      <c r="H18" s="212"/>
      <c r="I18" s="71"/>
      <c r="J18" s="71"/>
      <c r="K18" s="71"/>
      <c r="L18" s="71"/>
      <c r="M18" s="71"/>
      <c r="N18" s="71"/>
      <c r="O18" s="71"/>
      <c r="P18" s="71"/>
    </row>
    <row r="19" spans="1:16" ht="11.25" customHeight="1">
      <c r="A19" s="166"/>
      <c r="B19" s="71"/>
      <c r="C19" s="71"/>
      <c r="D19" s="71"/>
      <c r="E19" s="71"/>
      <c r="F19" s="71"/>
      <c r="G19" s="71"/>
      <c r="H19" s="71"/>
      <c r="I19" s="71"/>
      <c r="J19" s="71"/>
      <c r="K19" s="71"/>
      <c r="L19" s="71"/>
      <c r="M19" s="71"/>
      <c r="N19" s="71"/>
      <c r="O19" s="71"/>
      <c r="P19" s="71"/>
    </row>
    <row r="20" spans="1:16" ht="11.25" customHeight="1">
      <c r="A20" s="164"/>
      <c r="B20" s="71"/>
      <c r="C20" s="211" t="s">
        <v>487</v>
      </c>
      <c r="D20" s="211"/>
      <c r="E20" s="71"/>
      <c r="F20" s="71"/>
      <c r="G20" s="71"/>
      <c r="H20" s="211" t="s">
        <v>488</v>
      </c>
      <c r="I20" s="211"/>
      <c r="J20" s="71"/>
      <c r="K20" s="71"/>
      <c r="L20" s="71"/>
      <c r="M20" s="71"/>
      <c r="N20" s="71"/>
      <c r="O20" s="71"/>
      <c r="P20" s="71"/>
    </row>
    <row r="21" spans="1:16" ht="11.25" customHeight="1">
      <c r="A21" s="164"/>
      <c r="B21" s="71"/>
      <c r="C21" s="211"/>
      <c r="D21" s="211"/>
      <c r="E21" s="71"/>
      <c r="F21" s="71"/>
      <c r="G21" s="71"/>
      <c r="H21" s="211"/>
      <c r="I21" s="211"/>
      <c r="J21" s="71"/>
      <c r="K21" s="71"/>
      <c r="L21" s="71"/>
      <c r="M21" s="71"/>
      <c r="N21" s="71"/>
      <c r="O21" s="71"/>
      <c r="P21" s="71"/>
    </row>
    <row r="22" spans="1:16" ht="17.25" customHeight="1">
      <c r="A22" s="164"/>
      <c r="B22" s="71"/>
      <c r="C22" s="71"/>
      <c r="D22" s="71"/>
      <c r="E22" s="71"/>
      <c r="F22" s="71"/>
      <c r="G22" s="71"/>
      <c r="H22" s="71"/>
      <c r="I22" s="71"/>
      <c r="J22" s="71"/>
      <c r="K22" s="71"/>
      <c r="L22" s="71"/>
      <c r="M22" s="71"/>
      <c r="N22" s="71"/>
      <c r="O22" s="71"/>
      <c r="P22" s="71"/>
    </row>
  </sheetData>
  <mergeCells count="5">
    <mergeCell ref="C20:D21"/>
    <mergeCell ref="H20:I21"/>
    <mergeCell ref="C6:H18"/>
    <mergeCell ref="C3:I3"/>
    <mergeCell ref="C4:I4"/>
  </mergeCells>
  <hyperlinks>
    <hyperlink ref="H20:I21" location="NavCell_P0_2" display="Next page" xr:uid="{E3F8117F-129E-4BE0-95B6-23EFE50F8E07}"/>
    <hyperlink ref="C20:D21" r:id="rId1" display="Video link" xr:uid="{410BFE53-D3E3-41E8-A76A-F954139357A9}"/>
  </hyperlinks>
  <pageMargins left="0.7" right="0.7" top="0.75" bottom="0.75" header="0.3" footer="0.3"/>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465283-74E1-4E4B-BE24-65E7A062DD1A}">
  <sheetPr codeName="Sheet4">
    <tabColor theme="6" tint="0.79998168889431442"/>
  </sheetPr>
  <dimension ref="A1:Y38"/>
  <sheetViews>
    <sheetView showGridLines="0" zoomScaleNormal="100" workbookViewId="0"/>
  </sheetViews>
  <sheetFormatPr defaultColWidth="9" defaultRowHeight="14.45"/>
  <cols>
    <col min="1" max="1" width="0.25" style="162" customWidth="1"/>
    <col min="2" max="2" width="1.5" style="2" customWidth="1"/>
    <col min="3" max="3" width="1.875" style="2" customWidth="1"/>
    <col min="4" max="7" width="9.375" style="2" customWidth="1"/>
    <col min="8" max="8" width="3.75" style="2" customWidth="1"/>
    <col min="9" max="11" width="1.875" style="2" customWidth="1"/>
    <col min="12" max="13" width="11.25" style="2" customWidth="1"/>
    <col min="14" max="15" width="11.125" style="2" customWidth="1"/>
    <col min="16" max="16" width="3.75" style="2" customWidth="1"/>
    <col min="17" max="19" width="1.875" style="2" customWidth="1"/>
    <col min="20" max="20" width="11.25" style="2" customWidth="1"/>
    <col min="21" max="21" width="9.375" style="2" customWidth="1"/>
    <col min="22" max="22" width="5.75" style="2" customWidth="1"/>
    <col min="23" max="23" width="9.375" style="2" customWidth="1"/>
    <col min="24" max="24" width="11.25" style="2" customWidth="1"/>
    <col min="25" max="27" width="1.875" style="2" customWidth="1"/>
    <col min="28" max="30" width="11.125" style="2" customWidth="1"/>
    <col min="31" max="31" width="1.875" style="2" customWidth="1"/>
    <col min="32" max="16384" width="9" style="2"/>
  </cols>
  <sheetData>
    <row r="1" spans="1:25" ht="11.25" customHeight="1">
      <c r="A1" s="161" t="s">
        <v>489</v>
      </c>
    </row>
    <row r="2" spans="1:25" ht="32.1" customHeight="1">
      <c r="A2" s="163" t="s">
        <v>490</v>
      </c>
      <c r="B2" s="47"/>
      <c r="C2" s="48" t="s">
        <v>489</v>
      </c>
    </row>
    <row r="3" spans="1:25" ht="18.75" customHeight="1">
      <c r="A3" s="163" t="s">
        <v>491</v>
      </c>
      <c r="B3" s="47"/>
      <c r="C3" s="2" t="s">
        <v>490</v>
      </c>
    </row>
    <row r="4" spans="1:25" ht="11.25" customHeight="1" thickBot="1">
      <c r="A4" s="161" t="s">
        <v>492</v>
      </c>
      <c r="C4" s="120"/>
      <c r="D4" s="120"/>
      <c r="E4" s="120"/>
      <c r="F4" s="120"/>
      <c r="G4" s="120"/>
      <c r="H4" s="120"/>
      <c r="I4" s="120"/>
      <c r="K4" s="120"/>
      <c r="L4" s="120"/>
      <c r="M4" s="120"/>
      <c r="N4" s="120"/>
      <c r="O4" s="120"/>
      <c r="P4" s="120"/>
      <c r="Q4" s="120"/>
      <c r="R4" s="120"/>
      <c r="S4" s="120"/>
      <c r="T4" s="120"/>
      <c r="U4" s="120"/>
      <c r="V4" s="120"/>
      <c r="W4" s="120"/>
      <c r="X4" s="120"/>
      <c r="Y4" s="120"/>
    </row>
    <row r="5" spans="1:25" ht="26.25" customHeight="1">
      <c r="A5" s="161" t="s">
        <v>493</v>
      </c>
      <c r="C5" s="72"/>
      <c r="D5" s="214" t="s">
        <v>494</v>
      </c>
      <c r="E5" s="214"/>
      <c r="F5" s="214"/>
      <c r="G5" s="214"/>
      <c r="H5" s="72"/>
      <c r="I5" s="72"/>
      <c r="K5" s="72"/>
      <c r="L5" s="214" t="s">
        <v>495</v>
      </c>
      <c r="M5" s="214"/>
      <c r="N5" s="214"/>
      <c r="O5" s="214"/>
      <c r="P5" s="214"/>
      <c r="Q5" s="214"/>
      <c r="R5" s="143"/>
      <c r="S5" s="72"/>
      <c r="T5" s="72"/>
      <c r="U5" s="72"/>
      <c r="V5" s="72"/>
      <c r="W5" s="72"/>
      <c r="X5" s="72"/>
      <c r="Y5" s="72"/>
    </row>
    <row r="6" spans="1:25" ht="18.75" customHeight="1">
      <c r="A6" s="161" t="s">
        <v>496</v>
      </c>
      <c r="C6" s="72"/>
      <c r="D6" s="215" t="s">
        <v>497</v>
      </c>
      <c r="E6" s="215"/>
      <c r="F6" s="215"/>
      <c r="G6" s="215"/>
      <c r="H6" s="215"/>
      <c r="I6" s="72"/>
      <c r="K6" s="72"/>
      <c r="L6" s="216" t="s">
        <v>498</v>
      </c>
      <c r="M6" s="216"/>
      <c r="N6" s="145"/>
      <c r="O6" s="145"/>
      <c r="P6" s="145"/>
      <c r="Q6" s="145"/>
      <c r="R6" s="145"/>
      <c r="S6" s="145"/>
      <c r="T6" s="145"/>
      <c r="U6" s="72"/>
      <c r="V6" s="72"/>
      <c r="W6" s="72"/>
      <c r="X6" s="72"/>
      <c r="Y6" s="72"/>
    </row>
    <row r="7" spans="1:25" ht="18.75" customHeight="1">
      <c r="A7" s="161" t="s">
        <v>499</v>
      </c>
      <c r="C7" s="72"/>
      <c r="D7" s="215"/>
      <c r="E7" s="215"/>
      <c r="F7" s="215"/>
      <c r="G7" s="215"/>
      <c r="H7" s="215"/>
      <c r="I7" s="72"/>
      <c r="K7" s="72"/>
      <c r="L7" s="216"/>
      <c r="M7" s="216"/>
      <c r="N7" s="145"/>
      <c r="O7" s="145"/>
      <c r="P7" s="145"/>
      <c r="Q7" s="145"/>
      <c r="R7" s="145"/>
      <c r="S7" s="145"/>
      <c r="T7" s="145"/>
      <c r="U7" s="72"/>
      <c r="V7" s="72"/>
      <c r="W7" s="72"/>
      <c r="X7" s="72"/>
      <c r="Y7" s="72"/>
    </row>
    <row r="8" spans="1:25" ht="16.5" customHeight="1">
      <c r="A8" s="161" t="s">
        <v>500</v>
      </c>
      <c r="C8" s="72"/>
      <c r="D8" s="217" t="s">
        <v>501</v>
      </c>
      <c r="E8" s="217"/>
      <c r="F8" s="217"/>
      <c r="G8" s="217"/>
      <c r="H8" s="217"/>
      <c r="I8" s="72"/>
      <c r="K8" s="72"/>
      <c r="L8" s="216"/>
      <c r="M8" s="216"/>
      <c r="N8" s="145"/>
      <c r="O8" s="145"/>
      <c r="P8" s="145"/>
      <c r="Q8" s="145"/>
      <c r="R8" s="145"/>
      <c r="S8" s="145"/>
      <c r="T8" s="145"/>
      <c r="U8" s="72"/>
      <c r="V8" s="72"/>
      <c r="W8" s="72"/>
      <c r="X8" s="72"/>
      <c r="Y8" s="72"/>
    </row>
    <row r="9" spans="1:25" ht="16.5" customHeight="1">
      <c r="C9" s="72"/>
      <c r="D9" s="217" t="s">
        <v>489</v>
      </c>
      <c r="E9" s="217"/>
      <c r="F9" s="217"/>
      <c r="G9" s="217"/>
      <c r="H9" s="217"/>
      <c r="I9" s="72"/>
      <c r="K9" s="72"/>
      <c r="L9" s="216"/>
      <c r="M9" s="216"/>
      <c r="N9" s="145"/>
      <c r="O9" s="145"/>
      <c r="P9" s="145"/>
      <c r="Q9" s="145"/>
      <c r="R9" s="145"/>
      <c r="S9" s="145"/>
      <c r="T9" s="145"/>
      <c r="U9" s="72"/>
      <c r="V9" s="72"/>
      <c r="W9" s="72"/>
      <c r="X9" s="72"/>
      <c r="Y9" s="72"/>
    </row>
    <row r="10" spans="1:25" ht="16.5" customHeight="1">
      <c r="C10" s="72"/>
      <c r="D10" s="217" t="s">
        <v>502</v>
      </c>
      <c r="E10" s="217"/>
      <c r="F10" s="217"/>
      <c r="G10" s="217"/>
      <c r="H10" s="217"/>
      <c r="I10" s="72"/>
      <c r="K10" s="72"/>
      <c r="L10" s="145"/>
      <c r="M10" s="145"/>
      <c r="N10" s="145"/>
      <c r="O10" s="145"/>
      <c r="P10" s="145"/>
      <c r="Q10" s="145"/>
      <c r="R10" s="145"/>
      <c r="S10" s="145"/>
      <c r="T10" s="145"/>
      <c r="U10" s="72"/>
      <c r="V10" s="72"/>
      <c r="W10" s="72"/>
      <c r="X10" s="72"/>
      <c r="Y10" s="72"/>
    </row>
    <row r="11" spans="1:25" ht="16.5" customHeight="1">
      <c r="C11" s="72"/>
      <c r="D11" s="217" t="s">
        <v>503</v>
      </c>
      <c r="E11" s="217"/>
      <c r="F11" s="217"/>
      <c r="G11" s="217"/>
      <c r="H11" s="217"/>
      <c r="I11" s="72"/>
      <c r="K11" s="72"/>
      <c r="L11" s="216" t="s">
        <v>504</v>
      </c>
      <c r="M11" s="216"/>
      <c r="N11" s="145"/>
      <c r="O11" s="145"/>
      <c r="P11" s="145"/>
      <c r="Q11" s="145"/>
      <c r="R11" s="145"/>
      <c r="S11" s="145"/>
      <c r="T11" s="145"/>
      <c r="U11" s="72"/>
      <c r="V11" s="72"/>
      <c r="W11" s="72"/>
      <c r="X11" s="72"/>
      <c r="Y11" s="72"/>
    </row>
    <row r="12" spans="1:25" ht="16.5" customHeight="1">
      <c r="C12" s="72"/>
      <c r="D12" s="217" t="s">
        <v>505</v>
      </c>
      <c r="E12" s="217"/>
      <c r="F12" s="217"/>
      <c r="G12" s="217"/>
      <c r="H12" s="217"/>
      <c r="I12" s="72"/>
      <c r="K12" s="72"/>
      <c r="L12" s="216"/>
      <c r="M12" s="216"/>
      <c r="N12" s="145"/>
      <c r="O12" s="145"/>
      <c r="P12" s="145"/>
      <c r="Q12" s="145"/>
      <c r="R12" s="145"/>
      <c r="S12" s="145"/>
      <c r="T12" s="145"/>
      <c r="U12" s="72"/>
      <c r="V12" s="72"/>
      <c r="W12" s="72"/>
      <c r="X12" s="72"/>
      <c r="Y12" s="72"/>
    </row>
    <row r="13" spans="1:25" ht="16.5" customHeight="1">
      <c r="C13" s="72"/>
      <c r="D13" s="217" t="s">
        <v>506</v>
      </c>
      <c r="E13" s="217"/>
      <c r="F13" s="217"/>
      <c r="G13" s="217"/>
      <c r="H13" s="217"/>
      <c r="I13" s="72"/>
      <c r="K13" s="72"/>
      <c r="L13" s="216"/>
      <c r="M13" s="216"/>
      <c r="N13" s="145"/>
      <c r="O13" s="145"/>
      <c r="P13" s="145"/>
      <c r="Q13" s="145"/>
      <c r="R13" s="72"/>
      <c r="S13" s="72"/>
      <c r="T13" s="72"/>
      <c r="U13" s="72"/>
      <c r="V13" s="72"/>
      <c r="W13" s="72"/>
      <c r="X13" s="72"/>
      <c r="Y13" s="72"/>
    </row>
    <row r="14" spans="1:25" ht="16.5" customHeight="1">
      <c r="C14" s="72"/>
      <c r="D14" s="217" t="s">
        <v>507</v>
      </c>
      <c r="E14" s="217"/>
      <c r="F14" s="217"/>
      <c r="G14" s="217"/>
      <c r="H14" s="217"/>
      <c r="I14" s="72"/>
      <c r="K14" s="72"/>
      <c r="L14" s="216"/>
      <c r="M14" s="216"/>
      <c r="N14" s="145"/>
      <c r="O14" s="145"/>
      <c r="P14" s="145"/>
      <c r="Q14" s="72"/>
      <c r="R14" s="72"/>
      <c r="S14" s="72"/>
      <c r="T14" s="72"/>
      <c r="U14" s="72"/>
      <c r="V14" s="72"/>
      <c r="W14" s="72"/>
      <c r="X14" s="72"/>
      <c r="Y14" s="72"/>
    </row>
    <row r="15" spans="1:25" ht="16.5" customHeight="1">
      <c r="C15" s="72"/>
      <c r="D15" s="217" t="s">
        <v>508</v>
      </c>
      <c r="E15" s="217"/>
      <c r="F15" s="217"/>
      <c r="G15" s="217"/>
      <c r="H15" s="217"/>
      <c r="I15" s="72"/>
      <c r="K15" s="72"/>
      <c r="L15" s="72"/>
      <c r="M15" s="72"/>
      <c r="N15" s="145"/>
      <c r="O15" s="145"/>
      <c r="P15" s="145"/>
      <c r="Q15" s="72"/>
      <c r="R15" s="72"/>
      <c r="S15" s="72"/>
      <c r="T15" s="72"/>
      <c r="U15" s="72"/>
      <c r="V15" s="72"/>
      <c r="W15" s="72"/>
      <c r="X15" s="72"/>
      <c r="Y15" s="72"/>
    </row>
    <row r="16" spans="1:25" ht="16.5" customHeight="1">
      <c r="C16" s="72"/>
      <c r="D16" s="217" t="s">
        <v>509</v>
      </c>
      <c r="E16" s="217"/>
      <c r="F16" s="217"/>
      <c r="G16" s="217"/>
      <c r="H16" s="217"/>
      <c r="I16" s="72"/>
      <c r="K16" s="72"/>
      <c r="L16" s="218" t="s">
        <v>510</v>
      </c>
      <c r="M16" s="218"/>
      <c r="N16" s="145"/>
      <c r="O16" s="145"/>
      <c r="P16" s="145"/>
      <c r="Q16" s="145"/>
      <c r="R16" s="72"/>
      <c r="S16" s="72"/>
      <c r="T16" s="72"/>
      <c r="U16" s="72"/>
      <c r="V16" s="72"/>
      <c r="W16" s="72"/>
      <c r="X16" s="72"/>
      <c r="Y16" s="72"/>
    </row>
    <row r="17" spans="3:25" ht="16.5" customHeight="1">
      <c r="C17" s="72"/>
      <c r="D17" s="217" t="s">
        <v>511</v>
      </c>
      <c r="E17" s="217"/>
      <c r="F17" s="217"/>
      <c r="G17" s="217"/>
      <c r="H17" s="217"/>
      <c r="I17" s="72"/>
      <c r="K17" s="72"/>
      <c r="L17" s="218"/>
      <c r="M17" s="218"/>
      <c r="N17" s="145"/>
      <c r="O17" s="145"/>
      <c r="P17" s="145"/>
      <c r="Q17" s="145"/>
      <c r="R17" s="72"/>
      <c r="S17" s="72"/>
      <c r="T17" s="72"/>
      <c r="U17" s="72"/>
      <c r="V17" s="72"/>
      <c r="W17" s="72"/>
      <c r="X17" s="72"/>
      <c r="Y17" s="72"/>
    </row>
    <row r="18" spans="3:25" ht="16.5" customHeight="1">
      <c r="C18" s="72"/>
      <c r="D18" s="217" t="s">
        <v>512</v>
      </c>
      <c r="E18" s="217"/>
      <c r="F18" s="217"/>
      <c r="G18" s="217"/>
      <c r="H18" s="217"/>
      <c r="I18" s="72"/>
      <c r="K18" s="72"/>
      <c r="L18" s="218"/>
      <c r="M18" s="218"/>
      <c r="N18" s="145"/>
      <c r="O18" s="145"/>
      <c r="P18" s="145"/>
      <c r="Q18" s="145"/>
      <c r="R18" s="72"/>
      <c r="S18" s="72"/>
      <c r="T18" s="72"/>
      <c r="U18" s="72"/>
      <c r="V18" s="72"/>
      <c r="W18" s="72"/>
      <c r="X18" s="72"/>
      <c r="Y18" s="72"/>
    </row>
    <row r="19" spans="3:25" ht="16.5" customHeight="1">
      <c r="C19" s="72"/>
      <c r="D19" s="217" t="s">
        <v>513</v>
      </c>
      <c r="E19" s="217"/>
      <c r="F19" s="217"/>
      <c r="G19" s="217"/>
      <c r="H19" s="217"/>
      <c r="I19" s="72"/>
      <c r="K19" s="72"/>
      <c r="L19" s="218"/>
      <c r="M19" s="218"/>
      <c r="N19" s="145"/>
      <c r="O19" s="145"/>
      <c r="P19" s="145"/>
      <c r="Q19" s="145"/>
      <c r="R19" s="72"/>
      <c r="S19" s="72"/>
      <c r="T19" s="72"/>
      <c r="U19" s="72"/>
      <c r="V19" s="72"/>
      <c r="W19" s="72"/>
      <c r="X19" s="72"/>
      <c r="Y19" s="72"/>
    </row>
    <row r="20" spans="3:25" ht="11.25" customHeight="1">
      <c r="C20" s="72"/>
      <c r="D20" s="72"/>
      <c r="E20" s="72"/>
      <c r="F20" s="72"/>
      <c r="G20" s="72"/>
      <c r="H20" s="72"/>
      <c r="I20" s="72"/>
      <c r="K20" s="72"/>
      <c r="L20" s="72"/>
      <c r="M20" s="72"/>
      <c r="N20" s="72"/>
      <c r="O20" s="72"/>
      <c r="P20" s="72"/>
      <c r="Q20" s="72"/>
      <c r="R20" s="72"/>
      <c r="S20" s="72"/>
      <c r="T20" s="72"/>
      <c r="U20" s="72"/>
      <c r="V20" s="72"/>
      <c r="W20" s="72"/>
      <c r="X20" s="72"/>
      <c r="Y20" s="72"/>
    </row>
    <row r="21" spans="3:25" ht="10.5" customHeight="1" thickBot="1">
      <c r="C21" s="120"/>
      <c r="D21" s="120"/>
      <c r="E21" s="120"/>
      <c r="F21" s="120"/>
      <c r="G21" s="120"/>
      <c r="H21" s="120"/>
      <c r="I21" s="120"/>
      <c r="J21" s="120"/>
      <c r="K21" s="120"/>
      <c r="L21" s="120"/>
      <c r="M21" s="120"/>
      <c r="N21" s="120"/>
      <c r="O21" s="120"/>
      <c r="P21" s="120"/>
      <c r="Q21" s="120"/>
      <c r="R21" s="120"/>
      <c r="S21" s="120"/>
      <c r="T21" s="120"/>
      <c r="U21" s="120"/>
      <c r="V21" s="120"/>
      <c r="W21" s="120"/>
      <c r="X21" s="120"/>
      <c r="Y21" s="120"/>
    </row>
    <row r="22" spans="3:25" ht="32.1" customHeight="1">
      <c r="C22" s="72"/>
      <c r="D22" s="214" t="s">
        <v>514</v>
      </c>
      <c r="E22" s="214"/>
      <c r="F22" s="214"/>
      <c r="G22" s="214"/>
      <c r="H22" s="72"/>
      <c r="I22" s="72"/>
      <c r="K22" s="72"/>
      <c r="L22" s="214" t="s">
        <v>515</v>
      </c>
      <c r="M22" s="214"/>
      <c r="N22" s="214"/>
      <c r="O22" s="214"/>
      <c r="P22" s="72"/>
      <c r="Q22" s="72"/>
      <c r="S22" s="72"/>
      <c r="T22" s="214" t="s">
        <v>516</v>
      </c>
      <c r="U22" s="214"/>
      <c r="V22" s="214"/>
      <c r="W22" s="214"/>
      <c r="X22" s="214"/>
      <c r="Y22" s="72"/>
    </row>
    <row r="23" spans="3:25" ht="18.75" customHeight="1">
      <c r="C23" s="72"/>
      <c r="D23" s="216" t="s">
        <v>517</v>
      </c>
      <c r="E23" s="216"/>
      <c r="F23" s="216"/>
      <c r="G23" s="216"/>
      <c r="H23" s="216"/>
      <c r="I23" s="72"/>
      <c r="K23" s="72"/>
      <c r="L23" s="216" t="s">
        <v>518</v>
      </c>
      <c r="M23" s="216"/>
      <c r="N23" s="216"/>
      <c r="O23" s="216"/>
      <c r="P23" s="216"/>
      <c r="Q23" s="72"/>
      <c r="S23" s="72"/>
      <c r="T23" s="218" t="s">
        <v>519</v>
      </c>
      <c r="U23" s="218"/>
      <c r="V23" s="145"/>
      <c r="W23" s="72"/>
      <c r="X23" s="72"/>
      <c r="Y23" s="72"/>
    </row>
    <row r="24" spans="3:25" ht="18.75" customHeight="1">
      <c r="C24" s="72"/>
      <c r="D24" s="216"/>
      <c r="E24" s="216"/>
      <c r="F24" s="216"/>
      <c r="G24" s="216"/>
      <c r="H24" s="216"/>
      <c r="I24" s="72"/>
      <c r="K24" s="72"/>
      <c r="L24" s="216"/>
      <c r="M24" s="216"/>
      <c r="N24" s="216"/>
      <c r="O24" s="216"/>
      <c r="P24" s="216"/>
      <c r="Q24" s="72"/>
      <c r="S24" s="72"/>
      <c r="T24" s="218"/>
      <c r="U24" s="218"/>
      <c r="V24" s="145"/>
      <c r="W24" s="72"/>
      <c r="X24" s="72"/>
      <c r="Y24" s="72"/>
    </row>
    <row r="25" spans="3:25" ht="18.75" customHeight="1">
      <c r="C25" s="72"/>
      <c r="D25" s="216"/>
      <c r="E25" s="216"/>
      <c r="F25" s="216"/>
      <c r="G25" s="216"/>
      <c r="H25" s="216"/>
      <c r="I25" s="72"/>
      <c r="K25" s="72"/>
      <c r="L25" s="216"/>
      <c r="M25" s="216"/>
      <c r="N25" s="216"/>
      <c r="O25" s="216"/>
      <c r="P25" s="216"/>
      <c r="Q25" s="72"/>
      <c r="S25" s="72"/>
      <c r="T25" s="218"/>
      <c r="U25" s="218"/>
      <c r="V25" s="145"/>
      <c r="W25" s="72"/>
      <c r="X25" s="72"/>
      <c r="Y25" s="72"/>
    </row>
    <row r="26" spans="3:25" ht="18.75" customHeight="1" thickBot="1">
      <c r="C26" s="72"/>
      <c r="D26" s="219" t="s">
        <v>520</v>
      </c>
      <c r="E26" s="220"/>
      <c r="F26" s="220"/>
      <c r="G26" s="221"/>
      <c r="H26" s="124"/>
      <c r="I26" s="72"/>
      <c r="K26" s="72"/>
      <c r="L26" s="241" t="s">
        <v>521</v>
      </c>
      <c r="M26" s="242"/>
      <c r="N26" s="243"/>
      <c r="O26" s="145"/>
      <c r="P26" s="145"/>
      <c r="Q26" s="72"/>
      <c r="S26" s="72"/>
      <c r="T26" s="218"/>
      <c r="U26" s="218"/>
      <c r="V26" s="72"/>
      <c r="W26" s="72"/>
      <c r="X26" s="72"/>
      <c r="Y26" s="72"/>
    </row>
    <row r="27" spans="3:25" ht="18.75" customHeight="1" thickBot="1">
      <c r="C27" s="72"/>
      <c r="D27" s="222" t="s">
        <v>522</v>
      </c>
      <c r="E27" s="223"/>
      <c r="F27" s="223"/>
      <c r="G27" s="224"/>
      <c r="H27" s="72"/>
      <c r="I27" s="72"/>
      <c r="K27" s="145"/>
      <c r="L27" s="225" t="e" vm="1">
        <v>#VALUE!</v>
      </c>
      <c r="M27" s="226"/>
      <c r="N27" s="227"/>
      <c r="O27" s="145"/>
      <c r="P27" s="145"/>
      <c r="Q27" s="72"/>
      <c r="S27" s="72"/>
      <c r="T27" s="218"/>
      <c r="U27" s="218"/>
      <c r="V27" s="72"/>
      <c r="W27" s="72"/>
      <c r="X27" s="72"/>
      <c r="Y27" s="72"/>
    </row>
    <row r="28" spans="3:25" ht="18.75" customHeight="1">
      <c r="C28" s="72"/>
      <c r="D28" s="245" t="str">
        <f>IF($D$27="Step 2","Good job!","")</f>
        <v/>
      </c>
      <c r="E28" s="245"/>
      <c r="F28" s="245"/>
      <c r="G28" s="245"/>
      <c r="H28" s="144"/>
      <c r="I28" s="72"/>
      <c r="K28" s="72"/>
      <c r="L28" s="215" t="s">
        <v>523</v>
      </c>
      <c r="M28" s="215"/>
      <c r="N28" s="215"/>
      <c r="O28" s="215"/>
      <c r="P28" s="215"/>
      <c r="Q28" s="72"/>
      <c r="S28" s="72"/>
      <c r="T28" s="218"/>
      <c r="U28" s="218"/>
      <c r="V28" s="72"/>
      <c r="W28" s="72"/>
      <c r="X28" s="72"/>
      <c r="Y28" s="72"/>
    </row>
    <row r="29" spans="3:25" ht="18.75" customHeight="1">
      <c r="C29" s="72"/>
      <c r="D29" s="144"/>
      <c r="E29" s="144"/>
      <c r="F29" s="144"/>
      <c r="G29" s="144"/>
      <c r="H29" s="144"/>
      <c r="I29" s="72"/>
      <c r="K29" s="72"/>
      <c r="L29" s="215"/>
      <c r="M29" s="215"/>
      <c r="N29" s="215"/>
      <c r="O29" s="215"/>
      <c r="P29" s="215"/>
      <c r="Q29" s="72"/>
      <c r="S29" s="72"/>
      <c r="T29" s="218"/>
      <c r="U29" s="218"/>
      <c r="V29" s="72"/>
      <c r="W29" s="72"/>
      <c r="X29" s="72"/>
      <c r="Y29" s="72"/>
    </row>
    <row r="30" spans="3:25" ht="18.75" customHeight="1">
      <c r="C30" s="72"/>
      <c r="D30" s="244" t="s">
        <v>524</v>
      </c>
      <c r="E30" s="244"/>
      <c r="F30" s="244"/>
      <c r="G30" s="244"/>
      <c r="H30" s="244"/>
      <c r="I30" s="72"/>
      <c r="K30" s="72"/>
      <c r="L30" s="240"/>
      <c r="M30" s="240"/>
      <c r="N30" s="240"/>
      <c r="O30" s="240"/>
      <c r="P30" s="240"/>
      <c r="Q30" s="72"/>
      <c r="S30" s="72"/>
      <c r="T30" s="218"/>
      <c r="U30" s="218"/>
      <c r="V30" s="72"/>
      <c r="W30" s="72"/>
      <c r="X30" s="72"/>
      <c r="Y30" s="72"/>
    </row>
    <row r="31" spans="3:25" ht="18.75" customHeight="1">
      <c r="C31" s="72"/>
      <c r="D31" s="244"/>
      <c r="E31" s="244"/>
      <c r="F31" s="244"/>
      <c r="G31" s="244"/>
      <c r="H31" s="244"/>
      <c r="I31" s="72"/>
      <c r="K31" s="72"/>
      <c r="L31" s="252" t="s">
        <v>525</v>
      </c>
      <c r="M31" s="253"/>
      <c r="N31" s="253"/>
      <c r="O31" s="253"/>
      <c r="P31" s="254"/>
      <c r="Q31" s="72"/>
      <c r="S31" s="72"/>
      <c r="T31" s="72"/>
      <c r="U31" s="72"/>
      <c r="V31" s="72"/>
      <c r="W31" s="72"/>
      <c r="X31" s="72"/>
      <c r="Y31" s="72"/>
    </row>
    <row r="32" spans="3:25" ht="18.75" customHeight="1">
      <c r="C32" s="72"/>
      <c r="D32" s="244"/>
      <c r="E32" s="244"/>
      <c r="F32" s="244"/>
      <c r="G32" s="244"/>
      <c r="H32" s="244"/>
      <c r="I32" s="72"/>
      <c r="K32" s="72"/>
      <c r="L32" s="255"/>
      <c r="M32" s="256"/>
      <c r="N32" s="256"/>
      <c r="O32" s="256"/>
      <c r="P32" s="257"/>
      <c r="Q32" s="72"/>
      <c r="S32" s="72"/>
      <c r="T32" s="218" t="s">
        <v>526</v>
      </c>
      <c r="U32" s="218"/>
      <c r="V32" s="218"/>
      <c r="W32" s="218"/>
      <c r="X32" s="218"/>
      <c r="Y32" s="72"/>
    </row>
    <row r="33" spans="3:25" ht="18.75" customHeight="1" thickBot="1">
      <c r="C33" s="72"/>
      <c r="D33" s="244"/>
      <c r="E33" s="244"/>
      <c r="F33" s="244"/>
      <c r="G33" s="244"/>
      <c r="H33" s="244"/>
      <c r="I33" s="72"/>
      <c r="K33" s="72"/>
      <c r="L33" s="258"/>
      <c r="M33" s="259"/>
      <c r="N33" s="259"/>
      <c r="O33" s="259"/>
      <c r="P33" s="260"/>
      <c r="Q33" s="72"/>
      <c r="S33" s="72"/>
      <c r="T33" s="218"/>
      <c r="U33" s="218"/>
      <c r="V33" s="218"/>
      <c r="W33" s="218"/>
      <c r="X33" s="218"/>
      <c r="Y33" s="72"/>
    </row>
    <row r="34" spans="3:25" ht="18.75" customHeight="1" thickBot="1">
      <c r="C34" s="123"/>
      <c r="D34" s="246" t="s">
        <v>527</v>
      </c>
      <c r="E34" s="247"/>
      <c r="F34" s="247"/>
      <c r="G34" s="248"/>
      <c r="H34" s="144"/>
      <c r="I34" s="72"/>
      <c r="K34" s="72"/>
      <c r="L34" s="263" t="s">
        <v>528</v>
      </c>
      <c r="M34" s="263"/>
      <c r="N34" s="263"/>
      <c r="O34" s="263"/>
      <c r="P34" s="263"/>
      <c r="Q34" s="72"/>
      <c r="S34" s="72"/>
      <c r="T34" s="72"/>
      <c r="U34" s="72"/>
      <c r="V34" s="72"/>
      <c r="W34" s="72"/>
      <c r="X34" s="72"/>
      <c r="Y34" s="72"/>
    </row>
    <row r="35" spans="3:25" ht="18.75" customHeight="1">
      <c r="C35" s="72"/>
      <c r="D35" s="249" t="s">
        <v>529</v>
      </c>
      <c r="E35" s="250"/>
      <c r="F35" s="250"/>
      <c r="G35" s="251"/>
      <c r="H35" s="72"/>
      <c r="I35" s="72"/>
      <c r="K35" s="72"/>
      <c r="L35" s="216"/>
      <c r="M35" s="216"/>
      <c r="N35" s="216"/>
      <c r="O35" s="216"/>
      <c r="P35" s="216"/>
      <c r="Q35" s="72"/>
      <c r="S35" s="72"/>
      <c r="T35" s="72"/>
      <c r="U35" s="72"/>
      <c r="V35" s="72"/>
      <c r="W35" s="72"/>
      <c r="X35" s="72"/>
      <c r="Y35" s="72"/>
    </row>
    <row r="36" spans="3:25" ht="11.25" customHeight="1" thickBot="1">
      <c r="C36" s="72"/>
      <c r="D36" s="261" t="str">
        <f>IF(Instructions!D35="I understand!","Good job!","")</f>
        <v/>
      </c>
      <c r="E36" s="261"/>
      <c r="F36" s="261"/>
      <c r="G36" s="261"/>
      <c r="H36" s="72"/>
      <c r="I36" s="72"/>
      <c r="K36" s="72"/>
      <c r="L36" s="216"/>
      <c r="M36" s="216"/>
      <c r="N36" s="216"/>
      <c r="O36" s="216"/>
      <c r="P36" s="216"/>
      <c r="Q36" s="72"/>
    </row>
    <row r="37" spans="3:25" ht="11.25" customHeight="1">
      <c r="C37" s="72"/>
      <c r="D37" s="262"/>
      <c r="E37" s="262"/>
      <c r="F37" s="262"/>
      <c r="G37" s="262"/>
      <c r="H37" s="72"/>
      <c r="I37" s="72"/>
      <c r="K37" s="72"/>
      <c r="L37" s="216"/>
      <c r="M37" s="216"/>
      <c r="N37" s="216"/>
      <c r="O37" s="216"/>
      <c r="P37" s="216"/>
      <c r="Q37" s="72"/>
      <c r="S37" s="228" t="s">
        <v>530</v>
      </c>
      <c r="T37" s="229"/>
      <c r="U37" s="230"/>
      <c r="W37" s="234" t="s">
        <v>488</v>
      </c>
      <c r="X37" s="235"/>
      <c r="Y37" s="236"/>
    </row>
    <row r="38" spans="3:25" ht="11.25" customHeight="1" thickBot="1">
      <c r="C38" s="72"/>
      <c r="D38" s="72"/>
      <c r="E38" s="72"/>
      <c r="F38" s="72"/>
      <c r="G38" s="72"/>
      <c r="H38" s="72"/>
      <c r="I38" s="72"/>
      <c r="K38" s="72"/>
      <c r="L38" s="72"/>
      <c r="M38" s="72"/>
      <c r="N38" s="72"/>
      <c r="O38" s="72"/>
      <c r="P38" s="72"/>
      <c r="Q38" s="72"/>
      <c r="S38" s="231"/>
      <c r="T38" s="232"/>
      <c r="U38" s="233"/>
      <c r="W38" s="237"/>
      <c r="X38" s="238"/>
      <c r="Y38" s="239"/>
    </row>
  </sheetData>
  <mergeCells count="39">
    <mergeCell ref="S37:U38"/>
    <mergeCell ref="W37:Y38"/>
    <mergeCell ref="L28:P30"/>
    <mergeCell ref="L26:N26"/>
    <mergeCell ref="D30:H33"/>
    <mergeCell ref="T32:X33"/>
    <mergeCell ref="D28:G28"/>
    <mergeCell ref="D34:G34"/>
    <mergeCell ref="D35:G35"/>
    <mergeCell ref="L31:P33"/>
    <mergeCell ref="D36:G37"/>
    <mergeCell ref="L34:P37"/>
    <mergeCell ref="T22:X22"/>
    <mergeCell ref="D23:H25"/>
    <mergeCell ref="D26:G26"/>
    <mergeCell ref="D27:G27"/>
    <mergeCell ref="L23:P25"/>
    <mergeCell ref="D22:G22"/>
    <mergeCell ref="L22:O22"/>
    <mergeCell ref="L27:N27"/>
    <mergeCell ref="T23:U30"/>
    <mergeCell ref="D15:H15"/>
    <mergeCell ref="D16:H16"/>
    <mergeCell ref="L16:M19"/>
    <mergeCell ref="D18:H18"/>
    <mergeCell ref="D17:H17"/>
    <mergeCell ref="D19:H19"/>
    <mergeCell ref="D10:H10"/>
    <mergeCell ref="D11:H11"/>
    <mergeCell ref="L11:M14"/>
    <mergeCell ref="D12:H12"/>
    <mergeCell ref="D13:H13"/>
    <mergeCell ref="D14:H14"/>
    <mergeCell ref="D5:G5"/>
    <mergeCell ref="L5:Q5"/>
    <mergeCell ref="D6:H7"/>
    <mergeCell ref="L6:M9"/>
    <mergeCell ref="D8:H8"/>
    <mergeCell ref="D9:H9"/>
  </mergeCells>
  <conditionalFormatting sqref="D28:D29 D36:G36">
    <cfRule type="containsText" dxfId="15" priority="1" operator="containsText" text="Good job">
      <formula>NOT(ISERROR(SEARCH("Good job",D28)))</formula>
    </cfRule>
  </conditionalFormatting>
  <dataValidations xWindow="94" yWindow="528" count="14">
    <dataValidation type="list" allowBlank="1" showInputMessage="1" showErrorMessage="1" sqref="D35:G35" xr:uid="{0302CE1E-29B1-48C5-88AF-1EC6297CA825}">
      <formula1>"Check understanding, I understand!"</formula1>
    </dataValidation>
    <dataValidation type="list" allowBlank="1" showInputMessage="1" showErrorMessage="1" sqref="D27:G27" xr:uid="{0590B830-1069-467D-ACF1-46C5EEA1DDB1}">
      <formula1>"Step 1, Step 2"</formula1>
    </dataValidation>
    <dataValidation allowBlank="1" showInputMessage="1" showErrorMessage="1" prompt="View your certificate for completing all activities." sqref="D17" xr:uid="{AB52D914-52AD-47EA-88FE-4484F019D310}"/>
    <dataValidation allowBlank="1" showInputMessage="1" showErrorMessage="1" prompt="Lesson plan for this workbook, including standards met." sqref="D19" xr:uid="{A0FE3D42-95D4-4E2B-8215-DB05EFDF331D}"/>
    <dataValidation allowBlank="1" showInputMessage="1" showErrorMessage="1" prompt="Familiarize yourself with how Excel formulas get data from data types." sqref="D15" xr:uid="{B94C137F-4BF5-44EC-93CD-87688A3F0E1B}"/>
    <dataValidation allowBlank="1" showInputMessage="1" showErrorMessage="1" prompt="Lists all pages and provides instruction how to interact with this workbook." sqref="D9" xr:uid="{E16D4073-A22B-44A1-AE52-31F6EB5B696F}"/>
    <dataValidation allowBlank="1" showInputMessage="1" showErrorMessage="1" prompt="Introduces the workbook to a new user." sqref="D8" xr:uid="{909BF179-693E-4A87-976A-F569955A31D2}"/>
    <dataValidation allowBlank="1" showInputMessage="1" showErrorMessage="1" prompt="Using linked data, called data types, learn about the individual orcas that are part of what we designate J pod." sqref="D11:H11" xr:uid="{B1CB9C92-A9AB-4DF0-B125-1D895A76B3E5}"/>
    <dataValidation allowBlank="1" showInputMessage="1" showErrorMessage="1" prompt="Use data types to learn about the taxonomy of different animals." sqref="D13:H13" xr:uid="{4833542D-DC3E-48FA-988C-125C566A1448}"/>
    <dataValidation allowBlank="1" showInputMessage="1" showErrorMessage="1" prompt="Use data types to compare and contrast different forms of sealife, and complete a written reflection." sqref="D14:H14" xr:uid="{3C7B83B6-6C00-4A8D-8178-FBBD92E446BF}"/>
    <dataValidation allowBlank="1" showInputMessage="1" showErrorMessage="1" prompt="Learn how to use formulas with data types, and complete a written reflection." sqref="D16:H16" xr:uid="{C4C92EA6-B41E-4E41-BF34-9D20DDB31853}"/>
    <dataValidation allowBlank="1" showInputMessage="1" showErrorMessage="1" prompt="Use data types to fill in Kiki's family tree, and complete a written reflection." sqref="D12:H12" xr:uid="{7444A8BC-1B17-4EF7-91AF-52C6963F4AA9}"/>
    <dataValidation allowBlank="1" showInputMessage="1" showErrorMessage="1" prompt="Contains all written reflections for saving or printing." sqref="D18:H18" xr:uid="{237B0EDE-854C-4C4B-B30F-A15EEE6B0BA6}"/>
    <dataValidation allowBlank="1" showInputMessage="1" showErrorMessage="1" prompt="Gives interesting information to provide background context for these orcas." sqref="D10:H10" xr:uid="{C90CEF3A-0FAF-4015-87D3-A3E5871F17FD}"/>
  </dataValidations>
  <hyperlinks>
    <hyperlink ref="S37:U38" location="NavCell_P0_1" display="Prev" xr:uid="{70C307FF-70B4-401D-83C3-BFBC48DB1C70}"/>
    <hyperlink ref="W37:Y38" location="NavCell_P0_3" display="NavCell_P0_3" xr:uid="{CF2B287A-AA67-430A-B272-B4E6A12C400C}"/>
  </hyperlinks>
  <pageMargins left="0.7" right="0.7" top="0.75" bottom="0.75" header="0.3" footer="0.3"/>
  <pageSetup orientation="portrait" verticalDpi="300"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883C4D-C359-4F54-AA5A-5EA035C91F8C}">
  <sheetPr codeName="Sheet5">
    <tabColor theme="8" tint="0.79998168889431442"/>
  </sheetPr>
  <dimension ref="A1:T33"/>
  <sheetViews>
    <sheetView showGridLines="0" workbookViewId="0"/>
  </sheetViews>
  <sheetFormatPr defaultColWidth="9" defaultRowHeight="18.75" customHeight="1"/>
  <cols>
    <col min="1" max="1" width="0.25" style="47" customWidth="1"/>
    <col min="2" max="2" width="1.625" style="47" customWidth="1"/>
    <col min="3" max="3" width="1.875" style="2" customWidth="1"/>
    <col min="4" max="4" width="22.5" style="2" customWidth="1"/>
    <col min="5" max="5" width="3.75" style="2" customWidth="1"/>
    <col min="6" max="6" width="5.625" style="2" customWidth="1"/>
    <col min="7" max="7" width="1.875" style="2" customWidth="1"/>
    <col min="8" max="8" width="37.5" style="2" customWidth="1"/>
    <col min="9" max="11" width="1.875" style="2" customWidth="1"/>
    <col min="12" max="12" width="22.5" style="2" customWidth="1"/>
    <col min="13" max="14" width="3.75" style="2" customWidth="1"/>
    <col min="15" max="16" width="7.5" style="2" customWidth="1"/>
    <col min="17" max="17" width="5.625" style="2" customWidth="1"/>
    <col min="18" max="18" width="9.375" style="2" customWidth="1"/>
    <col min="19" max="19" width="11.25" style="2" customWidth="1"/>
    <col min="20" max="20" width="1.875" style="2" customWidth="1"/>
    <col min="21" max="16384" width="9" style="2"/>
  </cols>
  <sheetData>
    <row r="1" spans="1:20" ht="11.25" customHeight="1">
      <c r="A1" s="161" t="s">
        <v>531</v>
      </c>
    </row>
    <row r="2" spans="1:20" ht="32.1" customHeight="1">
      <c r="A2" s="161" t="s">
        <v>532</v>
      </c>
      <c r="C2" s="154" t="s">
        <v>531</v>
      </c>
      <c r="K2" s="22"/>
    </row>
    <row r="3" spans="1:20" ht="18.75" customHeight="1">
      <c r="A3" s="161" t="s">
        <v>533</v>
      </c>
      <c r="C3" s="176" t="s">
        <v>532</v>
      </c>
      <c r="K3" s="22"/>
    </row>
    <row r="4" spans="1:20" s="47" customFormat="1" ht="11.25" customHeight="1" thickBot="1">
      <c r="A4" s="168" t="s">
        <v>534</v>
      </c>
      <c r="B4" s="75"/>
      <c r="C4" s="121"/>
      <c r="D4" s="122"/>
      <c r="E4" s="122"/>
      <c r="F4" s="122"/>
      <c r="G4" s="122"/>
      <c r="H4" s="122"/>
      <c r="I4" s="121"/>
      <c r="J4" s="75"/>
      <c r="K4" s="121"/>
      <c r="L4" s="122"/>
      <c r="M4" s="122"/>
      <c r="N4" s="122"/>
      <c r="O4" s="122"/>
      <c r="P4" s="122"/>
      <c r="Q4" s="122"/>
      <c r="R4" s="122"/>
      <c r="S4" s="122"/>
      <c r="T4" s="121"/>
    </row>
    <row r="5" spans="1:20" ht="32.1" customHeight="1">
      <c r="A5" s="161" t="s">
        <v>535</v>
      </c>
      <c r="B5" s="75"/>
      <c r="C5" s="72"/>
      <c r="D5" s="214" t="s">
        <v>536</v>
      </c>
      <c r="E5" s="214"/>
      <c r="F5" s="214"/>
      <c r="G5" s="214"/>
      <c r="H5" s="214"/>
      <c r="I5" s="72"/>
      <c r="J5" s="76"/>
      <c r="K5" s="72"/>
      <c r="L5" s="143" t="s">
        <v>537</v>
      </c>
      <c r="M5" s="72"/>
      <c r="N5" s="72"/>
      <c r="O5" s="72"/>
      <c r="P5" s="72"/>
      <c r="Q5" s="72"/>
      <c r="R5" s="72"/>
      <c r="S5" s="72"/>
      <c r="T5" s="72"/>
    </row>
    <row r="6" spans="1:20" ht="18.75" customHeight="1" thickBot="1">
      <c r="A6" s="168" t="s">
        <v>538</v>
      </c>
      <c r="B6" s="75"/>
      <c r="C6" s="72"/>
      <c r="D6" s="268" t="s">
        <v>539</v>
      </c>
      <c r="E6" s="269"/>
      <c r="F6" s="72"/>
      <c r="G6" s="72"/>
      <c r="H6" s="72"/>
      <c r="I6" s="72"/>
      <c r="J6" s="76"/>
      <c r="K6" s="72"/>
      <c r="L6" s="268" t="s">
        <v>540</v>
      </c>
      <c r="M6" s="269"/>
      <c r="N6" s="72"/>
      <c r="O6" s="72"/>
      <c r="P6" s="72"/>
      <c r="Q6" s="72"/>
      <c r="R6" s="72"/>
      <c r="S6" s="72"/>
      <c r="T6" s="72"/>
    </row>
    <row r="7" spans="1:20" ht="18.75" customHeight="1" thickBot="1">
      <c r="A7" s="161" t="s">
        <v>541</v>
      </c>
      <c r="B7" s="75"/>
      <c r="C7" s="72"/>
      <c r="D7" s="270" t="s">
        <v>395</v>
      </c>
      <c r="E7" s="271"/>
      <c r="F7" s="72"/>
      <c r="G7" s="72"/>
      <c r="H7" s="72"/>
      <c r="I7" s="72"/>
      <c r="J7" s="76"/>
      <c r="K7" s="72"/>
      <c r="L7" s="270" t="s">
        <v>402</v>
      </c>
      <c r="M7" s="271"/>
      <c r="N7" s="72"/>
      <c r="O7" s="72"/>
      <c r="P7" s="72"/>
      <c r="Q7" s="72"/>
      <c r="R7" s="72"/>
      <c r="S7" s="72"/>
      <c r="T7" s="72"/>
    </row>
    <row r="8" spans="1:20" ht="18.75" customHeight="1">
      <c r="A8" s="168" t="s">
        <v>542</v>
      </c>
      <c r="B8" s="75"/>
      <c r="C8" s="72"/>
      <c r="D8" s="72"/>
      <c r="E8" s="72"/>
      <c r="F8" s="72"/>
      <c r="G8" s="72"/>
      <c r="H8" s="72"/>
      <c r="I8" s="72"/>
      <c r="J8" s="76"/>
      <c r="K8" s="72"/>
      <c r="L8" s="72"/>
      <c r="M8" s="72"/>
      <c r="N8" s="72"/>
      <c r="O8" s="72"/>
      <c r="P8" s="72"/>
      <c r="Q8" s="72"/>
      <c r="R8" s="72"/>
      <c r="S8" s="72"/>
      <c r="T8" s="72"/>
    </row>
    <row r="9" spans="1:20" ht="18.75" customHeight="1">
      <c r="A9" s="161" t="s">
        <v>543</v>
      </c>
      <c r="B9" s="75"/>
      <c r="C9" s="72"/>
      <c r="D9" s="218" t="str">
        <f ca="1">'Backend P0'!$O$3</f>
        <v>The Southern Resident orcas live in the Salish Sea, which is on the northeastern side of the Pacific Ocean.</v>
      </c>
      <c r="E9" s="218"/>
      <c r="F9" s="146"/>
      <c r="G9" s="72"/>
      <c r="H9" s="72"/>
      <c r="I9" s="72"/>
      <c r="J9" s="76"/>
      <c r="K9" s="72"/>
      <c r="L9" s="218" t="str">
        <f ca="1">'Backend P0'!$O$4</f>
        <v>Adult orcas can be up to 30-35 feet long. That is around the length of 5-6 adult humans standing on top of each other!</v>
      </c>
      <c r="M9" s="72"/>
      <c r="N9" s="72"/>
      <c r="O9" s="72"/>
      <c r="P9" s="72"/>
      <c r="Q9" s="72"/>
      <c r="R9" s="72"/>
      <c r="S9" s="72"/>
      <c r="T9" s="72"/>
    </row>
    <row r="10" spans="1:20" ht="18.75" customHeight="1">
      <c r="A10" s="168" t="s">
        <v>544</v>
      </c>
      <c r="B10" s="75"/>
      <c r="C10" s="72"/>
      <c r="D10" s="218"/>
      <c r="E10" s="218"/>
      <c r="F10" s="146"/>
      <c r="G10" s="72"/>
      <c r="H10" s="72"/>
      <c r="I10" s="72"/>
      <c r="J10" s="76"/>
      <c r="K10" s="72"/>
      <c r="L10" s="218"/>
      <c r="M10" s="72"/>
      <c r="N10" s="72"/>
      <c r="O10" s="72"/>
      <c r="P10" s="72"/>
      <c r="Q10" s="72"/>
      <c r="R10" s="72"/>
      <c r="S10" s="72"/>
      <c r="T10" s="72"/>
    </row>
    <row r="11" spans="1:20" ht="18.75" customHeight="1">
      <c r="A11" s="168" t="s">
        <v>545</v>
      </c>
      <c r="B11" s="75"/>
      <c r="C11" s="72"/>
      <c r="D11" s="218"/>
      <c r="E11" s="218"/>
      <c r="F11" s="146"/>
      <c r="G11" s="72"/>
      <c r="H11" s="72"/>
      <c r="I11" s="72"/>
      <c r="J11" s="76"/>
      <c r="K11" s="72"/>
      <c r="L11" s="218"/>
      <c r="M11" s="72"/>
      <c r="N11" s="72"/>
      <c r="O11" s="72"/>
      <c r="P11" s="72"/>
      <c r="Q11" s="72"/>
      <c r="R11" s="72"/>
      <c r="S11" s="72"/>
      <c r="T11" s="72"/>
    </row>
    <row r="12" spans="1:20" ht="18.75" customHeight="1">
      <c r="A12" s="168"/>
      <c r="B12" s="75"/>
      <c r="C12" s="72"/>
      <c r="D12" s="218"/>
      <c r="E12" s="218"/>
      <c r="F12" s="146"/>
      <c r="G12" s="72"/>
      <c r="H12" s="72"/>
      <c r="I12" s="72"/>
      <c r="J12" s="76"/>
      <c r="K12" s="72"/>
      <c r="L12" s="218"/>
      <c r="M12" s="72"/>
      <c r="N12" s="72"/>
      <c r="O12" s="72"/>
      <c r="P12" s="72"/>
      <c r="Q12" s="72"/>
      <c r="R12" s="72"/>
      <c r="S12" s="72"/>
      <c r="T12" s="72"/>
    </row>
    <row r="13" spans="1:20" ht="18.75" customHeight="1">
      <c r="A13" s="76"/>
      <c r="B13" s="75"/>
      <c r="C13" s="72"/>
      <c r="D13" s="218"/>
      <c r="E13" s="218"/>
      <c r="F13" s="146"/>
      <c r="G13" s="72"/>
      <c r="H13" s="72"/>
      <c r="I13" s="72"/>
      <c r="J13" s="76"/>
      <c r="K13" s="72"/>
      <c r="L13" s="218"/>
      <c r="M13" s="72"/>
      <c r="N13" s="72"/>
      <c r="O13" s="72"/>
      <c r="P13" s="72"/>
      <c r="Q13" s="72"/>
      <c r="R13" s="72"/>
      <c r="S13" s="72"/>
      <c r="T13" s="72"/>
    </row>
    <row r="14" spans="1:20" ht="18.75" customHeight="1">
      <c r="A14" s="76"/>
      <c r="B14" s="75"/>
      <c r="C14" s="72"/>
      <c r="D14" s="218"/>
      <c r="E14" s="218"/>
      <c r="F14" s="146"/>
      <c r="G14" s="72"/>
      <c r="H14" s="72"/>
      <c r="I14" s="72"/>
      <c r="J14" s="76"/>
      <c r="K14" s="72"/>
      <c r="L14" s="218"/>
      <c r="M14" s="72"/>
      <c r="N14" s="72"/>
      <c r="O14" s="72"/>
      <c r="P14" s="72"/>
      <c r="Q14" s="72"/>
      <c r="R14" s="72"/>
      <c r="S14" s="72"/>
      <c r="T14" s="72"/>
    </row>
    <row r="15" spans="1:20" ht="18.75" customHeight="1">
      <c r="A15" s="76"/>
      <c r="B15" s="75"/>
      <c r="C15" s="72"/>
      <c r="D15" s="218"/>
      <c r="E15" s="218"/>
      <c r="F15" s="146"/>
      <c r="G15" s="72"/>
      <c r="H15" s="72"/>
      <c r="I15" s="72"/>
      <c r="J15" s="76"/>
      <c r="K15" s="72"/>
      <c r="L15" s="218"/>
      <c r="M15" s="72"/>
      <c r="N15" s="72"/>
      <c r="O15" s="72"/>
      <c r="P15" s="72"/>
      <c r="Q15" s="72"/>
      <c r="R15" s="72"/>
      <c r="S15" s="72"/>
      <c r="T15" s="72"/>
    </row>
    <row r="16" spans="1:20" ht="18.75" customHeight="1">
      <c r="A16" s="76"/>
      <c r="B16" s="75"/>
      <c r="C16" s="72"/>
      <c r="D16" s="218"/>
      <c r="E16" s="218"/>
      <c r="F16" s="146"/>
      <c r="G16" s="72"/>
      <c r="H16" s="72"/>
      <c r="I16" s="72"/>
      <c r="J16" s="76"/>
      <c r="K16" s="72"/>
      <c r="L16" s="218"/>
      <c r="M16" s="72"/>
      <c r="N16" s="72"/>
      <c r="O16" s="72"/>
      <c r="P16" s="72"/>
      <c r="Q16" s="72"/>
      <c r="R16" s="72"/>
      <c r="S16" s="72"/>
      <c r="T16" s="72"/>
    </row>
    <row r="17" spans="1:20" ht="11.25" customHeight="1">
      <c r="A17" s="75"/>
      <c r="B17" s="75"/>
      <c r="C17" s="72"/>
      <c r="D17" s="72"/>
      <c r="E17" s="72"/>
      <c r="F17" s="72"/>
      <c r="G17" s="72"/>
      <c r="H17" s="72"/>
      <c r="I17" s="72"/>
      <c r="J17" s="76"/>
      <c r="K17" s="72"/>
      <c r="L17" s="72"/>
      <c r="M17" s="72"/>
      <c r="N17" s="72"/>
      <c r="O17" s="72"/>
      <c r="P17" s="72"/>
      <c r="Q17" s="72"/>
      <c r="R17" s="72"/>
      <c r="S17" s="72"/>
      <c r="T17" s="72"/>
    </row>
    <row r="18" spans="1:20" ht="11.25" customHeight="1">
      <c r="A18" s="75"/>
      <c r="B18" s="75"/>
      <c r="C18" s="120"/>
      <c r="D18" s="120"/>
      <c r="E18" s="120"/>
      <c r="F18" s="120"/>
      <c r="G18" s="120"/>
      <c r="H18" s="120"/>
      <c r="I18" s="120"/>
      <c r="K18" s="120"/>
      <c r="L18" s="120"/>
      <c r="M18" s="120"/>
      <c r="N18" s="120"/>
      <c r="O18" s="120"/>
      <c r="P18" s="120"/>
      <c r="Q18" s="120"/>
      <c r="R18" s="120"/>
      <c r="S18" s="120"/>
      <c r="T18" s="120"/>
    </row>
    <row r="19" spans="1:20" ht="32.1" customHeight="1">
      <c r="A19" s="75"/>
      <c r="B19" s="75"/>
      <c r="C19" s="72"/>
      <c r="D19" s="143" t="s">
        <v>408</v>
      </c>
      <c r="E19" s="72"/>
      <c r="F19" s="72"/>
      <c r="G19" s="72"/>
      <c r="H19" s="72"/>
      <c r="I19" s="72"/>
      <c r="J19" s="76"/>
      <c r="K19" s="72"/>
      <c r="L19" s="143" t="s">
        <v>415</v>
      </c>
      <c r="M19" s="72"/>
      <c r="N19" s="72"/>
      <c r="O19" s="72"/>
      <c r="P19" s="72"/>
      <c r="Q19" s="72"/>
      <c r="R19" s="72"/>
      <c r="S19" s="72"/>
      <c r="T19" s="72"/>
    </row>
    <row r="20" spans="1:20" ht="18.75" customHeight="1" thickBot="1">
      <c r="A20" s="75"/>
      <c r="B20" s="75"/>
      <c r="C20" s="72"/>
      <c r="D20" s="268" t="s">
        <v>546</v>
      </c>
      <c r="E20" s="269"/>
      <c r="F20" s="144"/>
      <c r="G20" s="144"/>
      <c r="H20" s="144"/>
      <c r="I20" s="72"/>
      <c r="J20" s="76"/>
      <c r="K20" s="72"/>
      <c r="L20" s="268" t="s">
        <v>547</v>
      </c>
      <c r="M20" s="269"/>
      <c r="N20" s="72"/>
      <c r="O20" s="72"/>
      <c r="P20" s="72"/>
      <c r="Q20" s="72"/>
      <c r="R20" s="72"/>
      <c r="S20" s="72"/>
      <c r="T20" s="72"/>
    </row>
    <row r="21" spans="1:20" ht="18.75" customHeight="1" thickBot="1">
      <c r="A21" s="75"/>
      <c r="B21" s="75"/>
      <c r="C21" s="72"/>
      <c r="D21" s="270" t="s">
        <v>409</v>
      </c>
      <c r="E21" s="271"/>
      <c r="F21" s="144"/>
      <c r="G21" s="144"/>
      <c r="H21" s="144"/>
      <c r="I21" s="72"/>
      <c r="J21" s="76"/>
      <c r="K21" s="72"/>
      <c r="L21" s="270" t="s">
        <v>416</v>
      </c>
      <c r="M21" s="271"/>
      <c r="N21" s="72"/>
      <c r="O21" s="72"/>
      <c r="P21" s="72"/>
      <c r="Q21" s="72"/>
      <c r="R21" s="72"/>
      <c r="S21" s="72"/>
      <c r="T21" s="72"/>
    </row>
    <row r="22" spans="1:20" ht="18.75" customHeight="1">
      <c r="A22" s="75"/>
      <c r="B22" s="75"/>
      <c r="C22" s="72"/>
      <c r="D22" s="72"/>
      <c r="E22" s="144"/>
      <c r="F22" s="144"/>
      <c r="G22" s="144"/>
      <c r="H22" s="144"/>
      <c r="I22" s="72"/>
      <c r="J22" s="76"/>
      <c r="K22" s="72"/>
      <c r="L22" s="72"/>
      <c r="M22" s="72"/>
      <c r="N22" s="72"/>
      <c r="O22" s="72"/>
      <c r="P22" s="72"/>
      <c r="Q22" s="72"/>
      <c r="R22" s="72"/>
      <c r="S22" s="72"/>
      <c r="T22" s="72"/>
    </row>
    <row r="23" spans="1:20" ht="18.75" customHeight="1">
      <c r="A23" s="75"/>
      <c r="B23" s="75"/>
      <c r="C23" s="72"/>
      <c r="D23" s="218" t="str">
        <f ca="1">'Backend P0'!$O$5</f>
        <v>Orcas can create clicks that make sounds to bounce off of objects around them. They use this to help them locate fish to eat!</v>
      </c>
      <c r="E23" s="218"/>
      <c r="F23" s="146"/>
      <c r="G23" s="145"/>
      <c r="H23" s="145"/>
      <c r="I23" s="72"/>
      <c r="J23" s="76"/>
      <c r="K23" s="72"/>
      <c r="L23" s="218" t="str">
        <f ca="1">'Backend P0'!$O$6</f>
        <v>A picture of an orca's dorsal fin region can help identify who the given orca is. The male orcas typically have larger fins than females. Southern Resident orcas have more rounded tips than other populations of orcas.</v>
      </c>
      <c r="M23" s="218"/>
      <c r="N23" s="218"/>
      <c r="O23" s="72"/>
      <c r="P23" s="72"/>
      <c r="Q23" s="72"/>
      <c r="R23" s="72"/>
      <c r="S23" s="72"/>
      <c r="T23" s="72"/>
    </row>
    <row r="24" spans="1:20" ht="18.75" customHeight="1">
      <c r="A24" s="75"/>
      <c r="B24" s="75"/>
      <c r="C24" s="72"/>
      <c r="D24" s="218"/>
      <c r="E24" s="218"/>
      <c r="F24" s="146"/>
      <c r="G24" s="72"/>
      <c r="H24" s="72"/>
      <c r="I24" s="72"/>
      <c r="J24" s="76"/>
      <c r="K24" s="72"/>
      <c r="L24" s="218"/>
      <c r="M24" s="218"/>
      <c r="N24" s="218"/>
      <c r="O24" s="72"/>
      <c r="P24" s="72"/>
      <c r="Q24" s="72"/>
      <c r="R24" s="72"/>
      <c r="S24" s="72"/>
      <c r="T24" s="72"/>
    </row>
    <row r="25" spans="1:20" ht="18.75" customHeight="1">
      <c r="A25" s="75"/>
      <c r="B25" s="75"/>
      <c r="C25" s="72"/>
      <c r="D25" s="218"/>
      <c r="E25" s="218"/>
      <c r="F25" s="146"/>
      <c r="G25" s="72"/>
      <c r="H25" s="72"/>
      <c r="I25" s="72"/>
      <c r="J25" s="76"/>
      <c r="K25" s="72"/>
      <c r="L25" s="218"/>
      <c r="M25" s="218"/>
      <c r="N25" s="218"/>
      <c r="O25" s="72"/>
      <c r="P25" s="72"/>
      <c r="Q25" s="72"/>
      <c r="R25" s="72"/>
      <c r="S25" s="72"/>
      <c r="T25" s="72"/>
    </row>
    <row r="26" spans="1:20" ht="18.75" customHeight="1">
      <c r="A26" s="75"/>
      <c r="B26" s="75"/>
      <c r="C26" s="72"/>
      <c r="D26" s="218"/>
      <c r="E26" s="218"/>
      <c r="F26" s="146"/>
      <c r="G26" s="72"/>
      <c r="H26" s="72"/>
      <c r="I26" s="72"/>
      <c r="J26" s="76"/>
      <c r="K26" s="72"/>
      <c r="L26" s="218"/>
      <c r="M26" s="218"/>
      <c r="N26" s="218"/>
      <c r="O26" s="72"/>
      <c r="P26" s="72"/>
      <c r="Q26" s="72"/>
      <c r="R26" s="72"/>
      <c r="S26" s="72"/>
      <c r="T26" s="72"/>
    </row>
    <row r="27" spans="1:20" ht="18.75" customHeight="1">
      <c r="A27" s="75"/>
      <c r="B27" s="75"/>
      <c r="C27" s="72"/>
      <c r="D27" s="218"/>
      <c r="E27" s="218"/>
      <c r="F27" s="146"/>
      <c r="G27" s="72"/>
      <c r="H27" s="72"/>
      <c r="I27" s="72"/>
      <c r="J27" s="76"/>
      <c r="K27" s="72"/>
      <c r="L27" s="218"/>
      <c r="M27" s="218"/>
      <c r="N27" s="218"/>
      <c r="O27" s="72"/>
      <c r="P27" s="72"/>
      <c r="Q27" s="72"/>
      <c r="R27" s="72"/>
      <c r="S27" s="72"/>
      <c r="T27" s="72"/>
    </row>
    <row r="28" spans="1:20" ht="18.75" customHeight="1">
      <c r="A28" s="75"/>
      <c r="B28" s="75"/>
      <c r="C28" s="72"/>
      <c r="D28" s="218"/>
      <c r="E28" s="218"/>
      <c r="F28" s="146"/>
      <c r="G28" s="72"/>
      <c r="H28" s="72"/>
      <c r="I28" s="72"/>
      <c r="J28" s="76"/>
      <c r="K28" s="72"/>
      <c r="L28" s="218"/>
      <c r="M28" s="218"/>
      <c r="N28" s="218"/>
      <c r="O28" s="72"/>
      <c r="P28" s="72"/>
      <c r="Q28" s="72"/>
      <c r="R28" s="72"/>
      <c r="S28" s="72"/>
      <c r="T28" s="72"/>
    </row>
    <row r="29" spans="1:20" ht="18.75" customHeight="1">
      <c r="A29" s="75"/>
      <c r="B29" s="75"/>
      <c r="C29" s="72"/>
      <c r="D29" s="218"/>
      <c r="E29" s="218"/>
      <c r="F29" s="146"/>
      <c r="G29" s="72"/>
      <c r="H29" s="72"/>
      <c r="I29" s="72"/>
      <c r="J29" s="76"/>
      <c r="K29" s="72"/>
      <c r="L29" s="218"/>
      <c r="M29" s="218"/>
      <c r="N29" s="218"/>
      <c r="O29" s="72"/>
      <c r="P29" s="72"/>
      <c r="Q29" s="72"/>
      <c r="R29" s="72"/>
      <c r="S29" s="72"/>
      <c r="T29" s="72"/>
    </row>
    <row r="30" spans="1:20" ht="18.75" customHeight="1">
      <c r="A30" s="75"/>
      <c r="B30" s="75"/>
      <c r="C30" s="72"/>
      <c r="D30" s="218"/>
      <c r="E30" s="218"/>
      <c r="F30" s="146"/>
      <c r="G30" s="72"/>
      <c r="H30" s="72"/>
      <c r="I30" s="72"/>
      <c r="J30" s="76"/>
      <c r="K30" s="72"/>
      <c r="L30" s="218"/>
      <c r="M30" s="218"/>
      <c r="N30" s="218"/>
      <c r="O30" s="72"/>
      <c r="P30" s="72"/>
      <c r="Q30" s="72"/>
      <c r="R30" s="72"/>
      <c r="S30" s="72"/>
      <c r="T30" s="72"/>
    </row>
    <row r="31" spans="1:20" ht="11.25" customHeight="1">
      <c r="A31" s="75"/>
      <c r="B31" s="75"/>
      <c r="C31" s="72"/>
      <c r="D31" s="72"/>
      <c r="E31" s="72"/>
      <c r="F31" s="72"/>
      <c r="G31" s="72"/>
      <c r="H31" s="72"/>
      <c r="I31" s="72"/>
      <c r="J31" s="76"/>
      <c r="K31" s="72"/>
      <c r="L31" s="72"/>
      <c r="M31" s="72"/>
      <c r="N31" s="72"/>
      <c r="O31" s="72"/>
      <c r="P31" s="72"/>
      <c r="Q31" s="72"/>
      <c r="R31" s="72"/>
      <c r="S31" s="72"/>
      <c r="T31" s="72"/>
    </row>
    <row r="32" spans="1:20" ht="11.25" customHeight="1" thickBot="1"/>
    <row r="33" spans="12:20" ht="26.25" customHeight="1" thickBot="1">
      <c r="L33" s="125"/>
      <c r="M33" s="265" t="s">
        <v>530</v>
      </c>
      <c r="N33" s="266"/>
      <c r="O33" s="266"/>
      <c r="P33" s="267"/>
      <c r="Q33" s="125"/>
      <c r="R33" s="264" t="s">
        <v>488</v>
      </c>
      <c r="S33" s="264"/>
      <c r="T33" s="264"/>
    </row>
  </sheetData>
  <mergeCells count="15">
    <mergeCell ref="R33:T33"/>
    <mergeCell ref="M33:P33"/>
    <mergeCell ref="D5:H5"/>
    <mergeCell ref="D9:E16"/>
    <mergeCell ref="L9:L16"/>
    <mergeCell ref="D23:E30"/>
    <mergeCell ref="L23:N30"/>
    <mergeCell ref="L6:M6"/>
    <mergeCell ref="L7:M7"/>
    <mergeCell ref="L20:M20"/>
    <mergeCell ref="L21:M21"/>
    <mergeCell ref="D6:E6"/>
    <mergeCell ref="D7:E7"/>
    <mergeCell ref="D20:E20"/>
    <mergeCell ref="D21:E21"/>
  </mergeCells>
  <hyperlinks>
    <hyperlink ref="M33:P33" location="NavCell_P0_2" display="Previous page" xr:uid="{400F5705-9F72-4C09-9556-89671392ADC9}"/>
    <hyperlink ref="R33:T33" location="NavCell_P1" display="Next page" xr:uid="{C9FF6090-2FAA-4E00-9859-B47405781FAE}"/>
  </hyperlinks>
  <pageMargins left="0.7" right="0.7" top="0.75" bottom="0.75" header="0.3" footer="0.3"/>
  <pageSetup orientation="portrait" verticalDpi="300" r:id="rId1"/>
  <drawing r:id="rId2"/>
  <extLst>
    <ext xmlns:x14="http://schemas.microsoft.com/office/spreadsheetml/2009/9/main" uri="{CCE6A557-97BC-4b89-ADB6-D9C93CAAB3DF}">
      <x14:dataValidations xmlns:xm="http://schemas.microsoft.com/office/excel/2006/main" count="4">
        <x14:dataValidation type="list" allowBlank="1" showInputMessage="1" showErrorMessage="1" xr:uid="{BE48A225-21E7-4717-B7F4-9F7464C85C8E}">
          <x14:formula1>
            <xm:f>'Backend P0'!$D$3:$F$3</xm:f>
          </x14:formula1>
          <xm:sqref>D7</xm:sqref>
        </x14:dataValidation>
        <x14:dataValidation type="list" allowBlank="1" showInputMessage="1" showErrorMessage="1" xr:uid="{B35EF491-A3FD-41D2-B344-B4499C75FB06}">
          <x14:formula1>
            <xm:f>'Backend P0'!$D$4:$F$4</xm:f>
          </x14:formula1>
          <xm:sqref>L7</xm:sqref>
        </x14:dataValidation>
        <x14:dataValidation type="list" allowBlank="1" showInputMessage="1" showErrorMessage="1" xr:uid="{1CBBA0CE-A9AD-436D-84CB-2255C90C7EDC}">
          <x14:formula1>
            <xm:f>'Backend P0'!$D$5:$F$5</xm:f>
          </x14:formula1>
          <xm:sqref>D21</xm:sqref>
        </x14:dataValidation>
        <x14:dataValidation type="list" allowBlank="1" showInputMessage="1" showErrorMessage="1" xr:uid="{CD61399A-D60F-4934-AE26-D35792E96B95}">
          <x14:formula1>
            <xm:f>'Backend P0'!$D$6:$F$6</xm:f>
          </x14:formula1>
          <xm:sqref>L21</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B090FC-DDAE-4D90-A33C-C9806F681FB2}">
  <sheetPr codeName="Sheet7">
    <tabColor theme="8" tint="0.79998168889431442"/>
  </sheetPr>
  <dimension ref="A1:R37"/>
  <sheetViews>
    <sheetView showGridLines="0" zoomScaleNormal="100" workbookViewId="0"/>
  </sheetViews>
  <sheetFormatPr defaultColWidth="7.5" defaultRowHeight="18.75" customHeight="1"/>
  <cols>
    <col min="1" max="1" width="0.25" style="2" customWidth="1"/>
    <col min="2" max="2" width="1.625" style="2" customWidth="1"/>
    <col min="3" max="3" width="1.875" style="2" customWidth="1"/>
    <col min="4" max="4" width="22.5" style="2" customWidth="1"/>
    <col min="5" max="6" width="8.75" style="2" customWidth="1"/>
    <col min="7" max="7" width="20" style="2" customWidth="1"/>
    <col min="8" max="9" width="8.75" style="2" customWidth="1"/>
    <col min="10" max="10" width="20" style="2" customWidth="1"/>
    <col min="11" max="11" width="3.125" style="2" customWidth="1"/>
    <col min="12" max="12" width="1.875" style="2" customWidth="1"/>
    <col min="13" max="13" width="11.25" style="2" customWidth="1"/>
    <col min="14" max="14" width="9.25" style="2" customWidth="1"/>
    <col min="15" max="15" width="5.625" style="2" customWidth="1"/>
    <col min="16" max="16" width="9.375" style="2" customWidth="1"/>
    <col min="17" max="17" width="11.25" style="2" customWidth="1"/>
    <col min="18" max="18" width="2" style="2" customWidth="1"/>
    <col min="19" max="16384" width="7.5" style="2"/>
  </cols>
  <sheetData>
    <row r="1" spans="1:18" ht="11.25" customHeight="1">
      <c r="A1" s="161" t="s">
        <v>548</v>
      </c>
    </row>
    <row r="2" spans="1:18" s="138" customFormat="1" ht="32.1" customHeight="1">
      <c r="A2" s="169" t="s">
        <v>549</v>
      </c>
      <c r="C2" s="272" t="s">
        <v>548</v>
      </c>
      <c r="D2" s="272"/>
      <c r="E2" s="272"/>
      <c r="F2" s="272"/>
      <c r="G2" s="272"/>
      <c r="H2" s="272"/>
      <c r="I2" s="272"/>
      <c r="J2" s="272"/>
      <c r="K2" s="272"/>
      <c r="L2" s="272"/>
      <c r="M2" s="272"/>
      <c r="N2" s="272"/>
      <c r="O2" s="272"/>
      <c r="P2" s="272"/>
      <c r="Q2" s="272"/>
      <c r="R2" s="272"/>
    </row>
    <row r="3" spans="1:18" ht="18.75" customHeight="1">
      <c r="A3" s="161" t="s">
        <v>550</v>
      </c>
      <c r="C3" s="273" t="s">
        <v>551</v>
      </c>
      <c r="D3" s="273"/>
      <c r="E3" s="273"/>
      <c r="F3" s="273"/>
      <c r="G3" s="273"/>
      <c r="H3" s="273"/>
      <c r="I3" s="273"/>
      <c r="J3" s="273"/>
      <c r="K3" s="273"/>
      <c r="L3" s="273"/>
      <c r="M3" s="273"/>
      <c r="N3" s="273"/>
      <c r="O3" s="273"/>
      <c r="P3" s="273"/>
      <c r="Q3" s="273"/>
      <c r="R3" s="273"/>
    </row>
    <row r="4" spans="1:18" ht="11.25" customHeight="1" thickBot="1">
      <c r="A4" s="161" t="s">
        <v>552</v>
      </c>
      <c r="C4" s="108"/>
      <c r="D4" s="108"/>
      <c r="E4" s="108"/>
      <c r="F4" s="108"/>
      <c r="G4" s="108"/>
      <c r="H4" s="108"/>
      <c r="I4" s="108"/>
      <c r="J4" s="108"/>
      <c r="K4" s="108"/>
      <c r="L4" s="108"/>
      <c r="M4" s="108"/>
      <c r="N4" s="108"/>
      <c r="O4" s="108"/>
      <c r="P4" s="108"/>
      <c r="Q4" s="108"/>
      <c r="R4" s="108"/>
    </row>
    <row r="5" spans="1:18" ht="32.1" customHeight="1">
      <c r="A5" s="161" t="s">
        <v>553</v>
      </c>
      <c r="C5" s="72"/>
      <c r="D5" s="281" t="s">
        <v>554</v>
      </c>
      <c r="E5" s="281"/>
      <c r="F5" s="281"/>
      <c r="G5" s="281"/>
      <c r="H5" s="281"/>
      <c r="I5" s="281"/>
      <c r="J5" s="281"/>
      <c r="K5" s="281"/>
      <c r="L5" s="281"/>
      <c r="M5" s="281"/>
      <c r="N5" s="281"/>
      <c r="O5" s="281"/>
      <c r="P5" s="281"/>
      <c r="Q5" s="281"/>
      <c r="R5" s="72"/>
    </row>
    <row r="6" spans="1:18" ht="18.75" customHeight="1">
      <c r="A6" s="161" t="s">
        <v>555</v>
      </c>
      <c r="C6" s="72"/>
      <c r="D6" s="215" t="s">
        <v>549</v>
      </c>
      <c r="E6" s="215"/>
      <c r="F6" s="215"/>
      <c r="G6" s="215"/>
      <c r="H6" s="215"/>
      <c r="I6" s="215"/>
      <c r="J6" s="215"/>
      <c r="K6" s="215"/>
      <c r="L6" s="215"/>
      <c r="M6" s="215"/>
      <c r="N6" s="215"/>
      <c r="O6" s="215"/>
      <c r="P6" s="215"/>
      <c r="Q6" s="215"/>
      <c r="R6" s="72"/>
    </row>
    <row r="7" spans="1:18" ht="18.75" customHeight="1">
      <c r="A7" s="161" t="s">
        <v>545</v>
      </c>
      <c r="C7" s="72"/>
      <c r="D7" s="215"/>
      <c r="E7" s="215"/>
      <c r="F7" s="215"/>
      <c r="G7" s="215"/>
      <c r="H7" s="215"/>
      <c r="I7" s="215"/>
      <c r="J7" s="215"/>
      <c r="K7" s="215"/>
      <c r="L7" s="215"/>
      <c r="M7" s="215"/>
      <c r="N7" s="215"/>
      <c r="O7" s="215"/>
      <c r="P7" s="215"/>
      <c r="Q7" s="215"/>
      <c r="R7" s="72"/>
    </row>
    <row r="8" spans="1:18" ht="18.75" customHeight="1">
      <c r="A8" s="161"/>
      <c r="C8" s="72"/>
      <c r="D8" s="216" t="s">
        <v>556</v>
      </c>
      <c r="E8" s="216"/>
      <c r="F8" s="216"/>
      <c r="G8" s="216"/>
      <c r="H8" s="216"/>
      <c r="I8" s="216"/>
      <c r="J8" s="216"/>
      <c r="K8" s="216"/>
      <c r="L8" s="216"/>
      <c r="M8" s="216"/>
      <c r="N8" s="216"/>
      <c r="O8" s="216"/>
      <c r="P8" s="216"/>
      <c r="Q8" s="216"/>
      <c r="R8" s="72"/>
    </row>
    <row r="9" spans="1:18" ht="18.75" customHeight="1" thickBot="1">
      <c r="A9" s="161"/>
      <c r="C9" s="86"/>
      <c r="D9" s="92" t="s">
        <v>521</v>
      </c>
      <c r="E9" s="87"/>
      <c r="F9" s="145"/>
      <c r="G9" s="145"/>
      <c r="H9" s="145"/>
      <c r="I9" s="145"/>
      <c r="J9" s="145"/>
      <c r="K9" s="145"/>
      <c r="L9" s="145"/>
      <c r="M9" s="145"/>
      <c r="N9" s="145"/>
      <c r="O9" s="145"/>
      <c r="P9" s="145"/>
      <c r="Q9" s="145"/>
      <c r="R9" s="72"/>
    </row>
    <row r="10" spans="1:18" ht="18.75" customHeight="1" thickBot="1">
      <c r="A10" s="161"/>
      <c r="C10" s="72"/>
      <c r="D10" s="88" t="e" vm="97">
        <v>#VALUE!</v>
      </c>
      <c r="E10" s="145"/>
      <c r="F10" s="145"/>
      <c r="G10" s="145"/>
      <c r="H10" s="145"/>
      <c r="I10" s="145"/>
      <c r="J10" s="72"/>
      <c r="K10" s="72"/>
      <c r="L10" s="72"/>
      <c r="M10" s="72"/>
      <c r="N10" s="72"/>
      <c r="O10" s="72"/>
      <c r="P10" s="72"/>
      <c r="Q10" s="72"/>
      <c r="R10" s="72"/>
    </row>
    <row r="11" spans="1:18" ht="11.25" customHeight="1">
      <c r="A11" s="161"/>
      <c r="C11" s="72"/>
      <c r="D11" s="72"/>
      <c r="E11" s="72"/>
      <c r="F11" s="72"/>
      <c r="G11" s="72"/>
      <c r="H11" s="72"/>
      <c r="I11" s="72"/>
      <c r="J11" s="72"/>
      <c r="K11" s="72"/>
      <c r="L11" s="72"/>
      <c r="M11" s="72"/>
      <c r="N11" s="72"/>
      <c r="O11" s="72"/>
      <c r="P11" s="72"/>
      <c r="Q11" s="72"/>
      <c r="R11" s="72"/>
    </row>
    <row r="12" spans="1:18" ht="18.75" customHeight="1">
      <c r="A12" s="161"/>
      <c r="C12" s="72"/>
      <c r="D12" s="216" t="s">
        <v>557</v>
      </c>
      <c r="E12" s="216"/>
      <c r="F12" s="216"/>
      <c r="G12" s="216"/>
      <c r="H12" s="216"/>
      <c r="I12" s="216"/>
      <c r="J12" s="216"/>
      <c r="K12" s="145"/>
      <c r="L12" s="145"/>
      <c r="M12" s="145"/>
      <c r="N12" s="145"/>
      <c r="O12" s="145"/>
      <c r="P12" s="145"/>
      <c r="Q12" s="145"/>
      <c r="R12" s="72"/>
    </row>
    <row r="13" spans="1:18" ht="18.75" customHeight="1">
      <c r="A13" s="161"/>
      <c r="C13" s="72"/>
      <c r="D13" s="216"/>
      <c r="E13" s="216"/>
      <c r="F13" s="216"/>
      <c r="G13" s="216"/>
      <c r="H13" s="216"/>
      <c r="I13" s="216"/>
      <c r="J13" s="216"/>
      <c r="K13" s="145"/>
      <c r="L13" s="145"/>
      <c r="M13" s="145"/>
      <c r="N13" s="145"/>
      <c r="O13" s="145"/>
      <c r="P13" s="145"/>
      <c r="Q13" s="145"/>
      <c r="R13" s="72"/>
    </row>
    <row r="14" spans="1:18" ht="18.75" customHeight="1" thickBot="1">
      <c r="A14" s="161"/>
      <c r="C14" s="72"/>
      <c r="D14" s="216"/>
      <c r="E14" s="216"/>
      <c r="F14" s="216"/>
      <c r="G14" s="216"/>
      <c r="H14" s="216"/>
      <c r="I14" s="216"/>
      <c r="J14" s="216"/>
      <c r="K14" s="145"/>
      <c r="L14" s="145"/>
      <c r="M14" s="145"/>
      <c r="N14" s="145"/>
      <c r="O14" s="145"/>
      <c r="P14" s="145"/>
      <c r="Q14" s="145"/>
      <c r="R14" s="72"/>
    </row>
    <row r="15" spans="1:18" ht="18.75" customHeight="1" thickBot="1">
      <c r="A15" s="161"/>
      <c r="C15" s="89"/>
      <c r="D15" s="90" t="s">
        <v>558</v>
      </c>
      <c r="E15" s="107" t="s">
        <v>109</v>
      </c>
      <c r="F15" s="104" t="s">
        <v>559</v>
      </c>
      <c r="G15" s="94" t="s">
        <v>560</v>
      </c>
      <c r="H15" s="104" t="s">
        <v>561</v>
      </c>
      <c r="I15" s="104" t="s">
        <v>562</v>
      </c>
      <c r="J15" s="95" t="s">
        <v>110</v>
      </c>
      <c r="K15" s="72"/>
      <c r="L15" s="72"/>
      <c r="M15" s="72"/>
      <c r="N15" s="72"/>
      <c r="O15" s="72"/>
      <c r="P15" s="72"/>
      <c r="Q15" s="72"/>
      <c r="R15" s="72"/>
    </row>
    <row r="16" spans="1:18" ht="18.75" customHeight="1" thickBot="1">
      <c r="A16" s="161"/>
      <c r="C16" s="72"/>
      <c r="D16" s="91" t="e" vm="115">
        <v>#VALUE!</v>
      </c>
      <c r="E16" s="53" t="str" cm="1">
        <f t="array" ref="E16">_FV(Sel_P1_1,"Gender",TRUE)</f>
        <v>Female</v>
      </c>
      <c r="F16" s="54" t="str" cm="1">
        <f t="array" ref="F16">_FV(Sel_P1_1,"Identification",TRUE)</f>
        <v>J53</v>
      </c>
      <c r="G16" s="54" t="str" cm="1">
        <f t="array" ref="G16">_FV(Sel_P1_1,"Life",TRUE)</f>
        <v>2015 - present</v>
      </c>
      <c r="H16" s="54" cm="1">
        <f t="array" aca="1" ref="H16" ca="1">IF(_FV(Sel_P1_1,"Death year",TRUE)="",YEAR(NOW()),_FV(Sel_P1_1,"Death Year",TRUE))-_FV(Sel_P1_1,"Birth year",TRUE)</f>
        <v>10</v>
      </c>
      <c r="I16" s="54" cm="1">
        <f t="array" ref="I16">_FV(Sel_P1_1,"Number of children",TRUE)</f>
        <v>0</v>
      </c>
      <c r="J16" s="21" t="e" cm="1" vm="79">
        <f t="array" ref="J16">IFERROR(_xlfn.XLOOKUP(_FV(Sel_P1_1,"Mother",TRUE),_FV(JPod[J Pod Orcas],"Name"),JPod[J Pod Orcas]),"   Unknown")</f>
        <v>#VALUE!</v>
      </c>
      <c r="K16" s="72"/>
      <c r="L16" s="72"/>
      <c r="M16" s="72"/>
      <c r="N16" s="72"/>
      <c r="O16" s="72"/>
      <c r="P16" s="72"/>
      <c r="Q16" s="72"/>
      <c r="R16" s="72"/>
    </row>
    <row r="17" spans="1:18" ht="18.75" hidden="1" customHeight="1" thickBot="1">
      <c r="A17" s="161"/>
      <c r="C17" s="142"/>
      <c r="D17" s="142"/>
      <c r="E17" s="142"/>
      <c r="F17" s="142"/>
      <c r="G17" s="142"/>
      <c r="H17" s="142"/>
      <c r="I17" s="142"/>
      <c r="J17" s="21"/>
      <c r="K17" s="72"/>
      <c r="L17" s="72"/>
      <c r="M17" s="72"/>
      <c r="N17" s="72"/>
      <c r="O17" s="72"/>
      <c r="P17" s="72"/>
      <c r="Q17" s="72"/>
      <c r="R17" s="72"/>
    </row>
    <row r="18" spans="1:18" ht="18.75" hidden="1" customHeight="1">
      <c r="A18" s="161"/>
      <c r="C18" s="142"/>
      <c r="D18" s="142"/>
      <c r="E18" s="142"/>
      <c r="F18" s="142"/>
      <c r="G18" s="142"/>
      <c r="H18" s="142"/>
      <c r="I18" s="142"/>
      <c r="J18" s="21"/>
      <c r="K18" s="72"/>
      <c r="L18" s="72"/>
      <c r="M18" s="72"/>
      <c r="N18" s="72"/>
      <c r="O18" s="72"/>
      <c r="P18" s="72"/>
      <c r="Q18" s="72"/>
      <c r="R18" s="72"/>
    </row>
    <row r="19" spans="1:18" ht="10.5" customHeight="1">
      <c r="A19" s="161"/>
      <c r="C19" s="72"/>
      <c r="D19" s="72"/>
      <c r="E19" s="72"/>
      <c r="F19" s="72"/>
      <c r="G19" s="72"/>
      <c r="H19" s="72"/>
      <c r="I19" s="72"/>
      <c r="J19" s="72"/>
      <c r="K19" s="72"/>
      <c r="L19" s="72"/>
      <c r="M19" s="72"/>
      <c r="N19" s="72"/>
      <c r="O19" s="72"/>
      <c r="P19" s="72"/>
      <c r="Q19" s="72"/>
      <c r="R19" s="72"/>
    </row>
    <row r="20" spans="1:18" ht="11.25" customHeight="1">
      <c r="C20" s="72"/>
      <c r="D20" s="81"/>
      <c r="E20" s="81"/>
      <c r="F20" s="81"/>
      <c r="G20" s="81"/>
      <c r="H20" s="81"/>
      <c r="I20" s="81"/>
      <c r="J20" s="81"/>
      <c r="K20" s="81"/>
      <c r="L20" s="81"/>
      <c r="M20" s="81"/>
      <c r="N20" s="81"/>
      <c r="O20" s="81"/>
      <c r="P20" s="81"/>
      <c r="Q20" s="81"/>
      <c r="R20" s="72"/>
    </row>
    <row r="21" spans="1:18" ht="18.75" customHeight="1">
      <c r="C21" s="72"/>
      <c r="D21" s="216" t="s">
        <v>563</v>
      </c>
      <c r="E21" s="216"/>
      <c r="F21" s="216"/>
      <c r="G21" s="216"/>
      <c r="H21" s="216"/>
      <c r="I21" s="216"/>
      <c r="J21" s="216"/>
      <c r="K21" s="216"/>
      <c r="L21" s="216"/>
      <c r="M21" s="216"/>
      <c r="N21" s="216"/>
      <c r="O21" s="216"/>
      <c r="P21" s="216"/>
      <c r="Q21" s="216"/>
      <c r="R21" s="72"/>
    </row>
    <row r="22" spans="1:18" ht="18.75" customHeight="1" thickBot="1">
      <c r="C22" s="72"/>
      <c r="D22" s="216"/>
      <c r="E22" s="216"/>
      <c r="F22" s="216"/>
      <c r="G22" s="216"/>
      <c r="H22" s="216"/>
      <c r="I22" s="216"/>
      <c r="J22" s="216"/>
      <c r="K22" s="216"/>
      <c r="L22" s="216"/>
      <c r="M22" s="216"/>
      <c r="N22" s="216"/>
      <c r="O22" s="216"/>
      <c r="P22" s="216"/>
      <c r="Q22" s="216"/>
      <c r="R22" s="72"/>
    </row>
    <row r="23" spans="1:18" ht="18.75" customHeight="1" thickBot="1">
      <c r="C23" s="72"/>
      <c r="D23" s="90" t="s">
        <v>564</v>
      </c>
      <c r="E23" s="94" t="s">
        <v>109</v>
      </c>
      <c r="F23" s="94" t="s">
        <v>559</v>
      </c>
      <c r="G23" s="94" t="s">
        <v>560</v>
      </c>
      <c r="H23" s="94" t="s">
        <v>561</v>
      </c>
      <c r="I23" s="94" t="s">
        <v>562</v>
      </c>
      <c r="J23" s="95" t="s">
        <v>110</v>
      </c>
      <c r="K23" s="72"/>
      <c r="L23" s="72"/>
      <c r="M23" s="72"/>
      <c r="N23" s="72"/>
      <c r="O23" s="72"/>
      <c r="P23" s="72"/>
      <c r="Q23" s="72"/>
      <c r="R23" s="72"/>
    </row>
    <row r="24" spans="1:18" ht="18.75" customHeight="1" thickBot="1">
      <c r="C24" s="72"/>
      <c r="D24" s="91" t="e" vm="79">
        <v>#VALUE!</v>
      </c>
      <c r="E24" s="93" t="str" cm="1">
        <f t="array" ref="E24">_FV(Sel_P1_2,"Gender",TRUE)</f>
        <v>Female</v>
      </c>
      <c r="F24" s="54" t="str" cm="1">
        <f t="array" ref="F24">_FV(Sel_P1_2,"Identification",TRUE)</f>
        <v>J17</v>
      </c>
      <c r="G24" s="53" t="str" cm="1">
        <f t="array" ref="G24">_FV(Sel_P1_2,"Life",TRUE)</f>
        <v>1977 - 2019</v>
      </c>
      <c r="H24" s="53" cm="1">
        <f t="array" aca="1" ref="H24" ca="1">IF(_FV(Sel_P1_2,"Death year",TRUE)="",YEAR(NOW()),_FV(Sel_P1_2,"Death Year",TRUE))-_FV(Sel_P1_2,"Birth year",TRUE)</f>
        <v>42</v>
      </c>
      <c r="I24" s="53" cm="1">
        <f t="array" ref="I24">_FV(Sel_P1_2,"Number of children",TRUE)</f>
        <v>4</v>
      </c>
      <c r="J24" s="21" t="e" cm="1" vm="65">
        <f t="array" ref="J24">IFERROR(_xlfn.XLOOKUP(_FV(Sel_P1_2,"Mother",TRUE),_FV(JPod[J Pod Orcas],"Name"),JPod[J Pod Orcas]),"   Unknown")</f>
        <v>#VALUE!</v>
      </c>
      <c r="K24" s="72"/>
      <c r="L24" s="72"/>
      <c r="M24" s="72"/>
      <c r="N24" s="72"/>
      <c r="O24" s="72"/>
      <c r="P24" s="72"/>
      <c r="Q24" s="72"/>
      <c r="R24" s="72"/>
    </row>
    <row r="25" spans="1:18" ht="18.75" customHeight="1">
      <c r="C25" s="72"/>
      <c r="D25" s="72"/>
      <c r="E25" s="72"/>
      <c r="F25" s="72"/>
      <c r="G25" s="72"/>
      <c r="H25" s="72"/>
      <c r="I25" s="72"/>
      <c r="J25" s="72"/>
      <c r="K25" s="72"/>
      <c r="L25" s="139"/>
      <c r="M25" s="139"/>
      <c r="N25" s="139"/>
      <c r="O25" s="139"/>
      <c r="P25" s="139"/>
      <c r="Q25" s="139"/>
      <c r="R25" s="72"/>
    </row>
    <row r="26" spans="1:18" ht="18.75" customHeight="1" thickBot="1">
      <c r="C26" s="72"/>
      <c r="D26" s="103" t="s">
        <v>562</v>
      </c>
      <c r="E26" s="104" t="s">
        <v>109</v>
      </c>
      <c r="F26" s="105" t="s">
        <v>561</v>
      </c>
      <c r="G26" s="106" t="s">
        <v>565</v>
      </c>
      <c r="H26" s="104" t="s">
        <v>109</v>
      </c>
      <c r="I26" s="95" t="s">
        <v>561</v>
      </c>
      <c r="J26" s="72"/>
      <c r="K26" s="72"/>
      <c r="L26" s="139"/>
      <c r="M26" s="139"/>
      <c r="N26" s="139"/>
      <c r="O26" s="139"/>
      <c r="P26" s="139"/>
      <c r="Q26" s="139"/>
      <c r="R26" s="72"/>
    </row>
    <row r="27" spans="1:18" ht="18.75" customHeight="1">
      <c r="C27" s="72"/>
      <c r="D27" s="98" t="e" cm="1" vm="90">
        <f t="array" ref="D27:D30">_xlfn._xlws.FILTER(JPod[J Pod Orcas],_FV(JPod[J Pod Orcas],"Mother")=_FV(Sel_P1_2,"Name",TRUE))</f>
        <v>#VALUE!</v>
      </c>
      <c r="E27" s="99" t="str" cm="1">
        <f t="array" ref="E27:E30">_xlfn._xlws.FILTER(_FV(JPod[J Pod Orcas],"Gender"),_FV(JPod[J Pod Orcas],"Mother")=_FV(Sel_P1_2,"Name",TRUE))</f>
        <v>Female</v>
      </c>
      <c r="F27" s="100" cm="1">
        <f t="array" ref="F27:F30">IF(_xlfn._xlws.FILTER(_FV(JPod[J Pod Orcas],"Death Year",TRUE),_FV(JPod[J Pod Orcas],"Mother")=_FV(Sel_P1_2,"Name",TRUE))="",2021,_xlfn._xlws.FILTER(_FV(JPod[J Pod Orcas],"Death Year",TRUE),_FV(JPod[J Pod Orcas],"Mother")=_FV(Sel_P1_2,"Name",TRUE)))-_xlfn._xlws.FILTER(_FV(JPod[J Pod Orcas],"Birth year",TRUE),_FV(JPod[J Pod Orcas],"Mother")=_FV(Sel_P1_2,"Name",TRUE))</f>
        <v>24</v>
      </c>
      <c r="G27" s="101" t="e" cm="1" vm="108">
        <f t="array" ref="G27:G32">_xlfn._xlws.FILTER(JPod[J Pod Orcas],_FV(JPod[J Pod Orcas],"Grandmother")=_FV(Sel_P1_2,"Name",TRUE))</f>
        <v>#VALUE!</v>
      </c>
      <c r="H27" s="99" t="str" cm="1">
        <f t="array" ref="H27:H32">_xlfn._xlws.FILTER(_FV(JPod[J Pod Orcas],"Gender"),_FV(JPod[J Pod Orcas],"Grandmother")=_FV(Sel_P1_2,"Name",TRUE))</f>
        <v>Female</v>
      </c>
      <c r="I27" s="102" cm="1">
        <f t="array" ref="I27:I32">IF(_xlfn._xlws.FILTER(_FV(JPod[J Pod Orcas],"Death Year",TRUE),_FV(JPod[J Pod Orcas],"Grandmother")=_FV(Sel_P1_2,"Name",TRUE))="",2021,_xlfn._xlws.FILTER(_FV(JPod[J Pod Orcas],"Death Year",TRUE),_FV(JPod[J Pod Orcas],"Grandmother")=_FV(Sel_P1_2,"Name",TRUE)))-_xlfn._xlws.FILTER(_FV(JPod[J Pod Orcas],"Birth year",TRUE),_FV(JPod[J Pod Orcas],"Grandmother")=_FV(Sel_P1_2,"Name",TRUE))</f>
        <v>12</v>
      </c>
      <c r="J27" s="72"/>
      <c r="K27" s="72"/>
      <c r="L27" s="139"/>
      <c r="M27" s="139"/>
      <c r="N27" s="139"/>
      <c r="O27" s="139"/>
      <c r="P27" s="139"/>
      <c r="Q27" s="139"/>
      <c r="R27" s="72"/>
    </row>
    <row r="28" spans="1:18" ht="18.75" customHeight="1">
      <c r="C28" s="72"/>
      <c r="D28" s="61" t="e" vm="97">
        <v>#VALUE!</v>
      </c>
      <c r="E28" s="62" t="str">
        <v>Female</v>
      </c>
      <c r="F28" s="96">
        <v>23</v>
      </c>
      <c r="G28" s="61" t="e" vm="109">
        <v>#VALUE!</v>
      </c>
      <c r="H28" s="62" t="str">
        <v>Male</v>
      </c>
      <c r="I28" s="63">
        <v>11</v>
      </c>
      <c r="J28" s="72"/>
      <c r="K28" s="72"/>
      <c r="L28" s="139"/>
      <c r="M28" s="139"/>
      <c r="N28" s="139"/>
      <c r="O28" s="139"/>
      <c r="P28" s="139"/>
      <c r="Q28" s="139"/>
      <c r="R28" s="72"/>
    </row>
    <row r="29" spans="1:18" ht="18.75" customHeight="1">
      <c r="C29" s="72"/>
      <c r="D29" s="61" t="e" vm="106">
        <v>#VALUE!</v>
      </c>
      <c r="E29" s="62" t="str">
        <v>Male</v>
      </c>
      <c r="F29" s="96">
        <v>12</v>
      </c>
      <c r="G29" s="61" t="e" vm="116">
        <v>#VALUE!</v>
      </c>
      <c r="H29" s="62" t="str">
        <v>Male</v>
      </c>
      <c r="I29" s="63">
        <v>1</v>
      </c>
      <c r="J29" s="72"/>
      <c r="K29" s="72"/>
      <c r="L29" s="139"/>
      <c r="M29" s="139"/>
      <c r="N29" s="139"/>
      <c r="O29" s="139"/>
      <c r="P29" s="139"/>
      <c r="Q29" s="139"/>
      <c r="R29" s="72"/>
    </row>
    <row r="30" spans="1:18" ht="18.75" customHeight="1">
      <c r="C30" s="72"/>
      <c r="D30" s="61" t="e" vm="115">
        <v>#VALUE!</v>
      </c>
      <c r="E30" s="62" t="str">
        <v>Female</v>
      </c>
      <c r="F30" s="96">
        <v>6</v>
      </c>
      <c r="G30" s="61" t="e" vm="119">
        <v>#VALUE!</v>
      </c>
      <c r="H30" s="62" t="str">
        <v>Male</v>
      </c>
      <c r="I30" s="63">
        <v>1</v>
      </c>
      <c r="J30" s="72"/>
      <c r="K30" s="72"/>
      <c r="L30" s="139"/>
      <c r="M30" s="139"/>
      <c r="N30" s="139"/>
      <c r="O30" s="139"/>
      <c r="P30" s="139"/>
      <c r="Q30" s="139"/>
      <c r="R30" s="72"/>
    </row>
    <row r="31" spans="1:18" ht="18.75" customHeight="1">
      <c r="C31" s="72"/>
      <c r="D31" s="61"/>
      <c r="E31" s="62"/>
      <c r="F31" s="96"/>
      <c r="G31" s="61" t="e" vm="122">
        <v>#VALUE!</v>
      </c>
      <c r="H31" s="62" t="str">
        <v>Unknown</v>
      </c>
      <c r="I31" s="63">
        <v>0</v>
      </c>
      <c r="J31" s="72"/>
      <c r="K31" s="72"/>
      <c r="L31" s="139"/>
      <c r="M31" s="139"/>
      <c r="N31" s="139"/>
      <c r="O31" s="139"/>
      <c r="P31" s="139"/>
      <c r="Q31" s="139"/>
      <c r="R31" s="72"/>
    </row>
    <row r="32" spans="1:18" ht="18.75" customHeight="1">
      <c r="C32" s="72"/>
      <c r="D32" s="55"/>
      <c r="E32" s="54"/>
      <c r="F32" s="97"/>
      <c r="G32" s="55" t="e" vm="124">
        <v>#VALUE!</v>
      </c>
      <c r="H32" s="54" t="str">
        <v>Unknown</v>
      </c>
      <c r="I32" s="142">
        <v>0</v>
      </c>
      <c r="J32" s="72"/>
      <c r="K32" s="72"/>
      <c r="L32" s="139"/>
      <c r="M32" s="139"/>
      <c r="N32" s="139"/>
      <c r="O32" s="139"/>
      <c r="P32" s="139"/>
      <c r="Q32" s="139"/>
      <c r="R32" s="72"/>
    </row>
    <row r="33" spans="3:18" ht="11.25" customHeight="1">
      <c r="C33" s="72"/>
      <c r="D33" s="72"/>
      <c r="E33" s="72"/>
      <c r="F33" s="72"/>
      <c r="G33" s="72"/>
      <c r="H33" s="72"/>
      <c r="I33" s="72"/>
      <c r="J33" s="72"/>
      <c r="K33" s="72"/>
      <c r="L33" s="72"/>
      <c r="M33" s="72"/>
      <c r="N33" s="72"/>
      <c r="O33" s="72"/>
      <c r="P33" s="72"/>
      <c r="Q33" s="72"/>
      <c r="R33" s="72"/>
    </row>
    <row r="34" spans="3:18" ht="11.25" customHeight="1">
      <c r="C34" s="72"/>
      <c r="D34" s="72"/>
      <c r="E34" s="72"/>
      <c r="F34" s="72"/>
      <c r="G34" s="72"/>
      <c r="H34" s="72"/>
      <c r="I34" s="72"/>
      <c r="J34" s="72"/>
      <c r="K34" s="72"/>
      <c r="L34" s="72"/>
      <c r="M34" s="72"/>
      <c r="N34" s="72"/>
      <c r="O34" s="72"/>
      <c r="P34" s="72"/>
      <c r="Q34" s="72"/>
      <c r="R34" s="72"/>
    </row>
    <row r="35" spans="3:18" ht="11.25" customHeight="1" thickBot="1"/>
    <row r="36" spans="3:18" ht="11.25" customHeight="1">
      <c r="L36" s="275" t="s">
        <v>530</v>
      </c>
      <c r="M36" s="276"/>
      <c r="N36" s="277"/>
      <c r="O36" s="126"/>
      <c r="P36" s="274" t="s">
        <v>488</v>
      </c>
      <c r="Q36" s="274"/>
      <c r="R36" s="274"/>
    </row>
    <row r="37" spans="3:18" ht="11.25" customHeight="1" thickBot="1">
      <c r="L37" s="278"/>
      <c r="M37" s="279"/>
      <c r="N37" s="280"/>
      <c r="O37" s="126"/>
      <c r="P37" s="274"/>
      <c r="Q37" s="274"/>
      <c r="R37" s="274"/>
    </row>
  </sheetData>
  <mergeCells count="9">
    <mergeCell ref="C2:R2"/>
    <mergeCell ref="C3:R3"/>
    <mergeCell ref="P36:R37"/>
    <mergeCell ref="L36:N37"/>
    <mergeCell ref="D12:J14"/>
    <mergeCell ref="D5:Q5"/>
    <mergeCell ref="D21:Q22"/>
    <mergeCell ref="D8:Q8"/>
    <mergeCell ref="D6:Q7"/>
  </mergeCells>
  <hyperlinks>
    <hyperlink ref="L36:N37" location="NavCell_P0_3" display="Previous page" xr:uid="{F8360F9A-0AEC-4F41-A9E9-9A8B9A24E699}"/>
    <hyperlink ref="P36:R37" location="NavCell_P2" display="Next page" xr:uid="{9D56996B-CF06-4E2B-8AC2-552749C6AE51}"/>
  </hyperlinks>
  <pageMargins left="0.7" right="0.7" top="0.75" bottom="0.75" header="0.3" footer="0.3"/>
  <pageSetup orientation="portrait" verticalDpi="300" r:id="rId1"/>
  <drawing r:id="rId2"/>
  <extLst>
    <ext xmlns:x14="http://schemas.microsoft.com/office/spreadsheetml/2009/9/main" uri="{CCE6A557-97BC-4b89-ADB6-D9C93CAAB3DF}">
      <x14:dataValidations xmlns:xm="http://schemas.microsoft.com/office/excel/2006/main" count="2">
        <x14:dataValidation type="list" allowBlank="1" showInputMessage="1" showErrorMessage="1" xr:uid="{DAEDD361-ED40-4ABF-8B41-95E87AC20227}">
          <x14:formula1>
            <xm:f>'Backend P1'!$F$2:$F$5</xm:f>
          </x14:formula1>
          <xm:sqref>D24</xm:sqref>
        </x14:dataValidation>
        <x14:dataValidation type="list" allowBlank="1" showInputMessage="1" showErrorMessage="1" xr:uid="{8E787DD1-624A-46CF-B1AB-9045E8A6AFD8}">
          <x14:formula1>
            <xm:f>JPod!$A$2:$A$63</xm:f>
          </x14:formula1>
          <xm:sqref>D16</xm:sqref>
        </x14:dataValidation>
      </x14:dataValidations>
    </ext>
  </extLst>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5F4F1C-1B8B-4049-B299-AA1334DB062B}">
  <sheetPr codeName="Sheet8">
    <tabColor theme="8" tint="0.79998168889431442"/>
  </sheetPr>
  <dimension ref="A1:AC46"/>
  <sheetViews>
    <sheetView showGridLines="0" zoomScaleNormal="100" workbookViewId="0"/>
  </sheetViews>
  <sheetFormatPr defaultColWidth="9" defaultRowHeight="18.75" customHeight="1"/>
  <cols>
    <col min="1" max="1" width="0.25" style="2" customWidth="1"/>
    <col min="2" max="2" width="1.625" style="2" customWidth="1"/>
    <col min="3" max="3" width="1.875" style="2" customWidth="1"/>
    <col min="4" max="4" width="2" style="2" customWidth="1"/>
    <col min="5" max="5" width="21.125" style="2" customWidth="1"/>
    <col min="6" max="6" width="7.5" style="2" customWidth="1"/>
    <col min="7" max="8" width="5.625" style="2" customWidth="1"/>
    <col min="9" max="9" width="4.375" style="2" customWidth="1"/>
    <col min="10" max="12" width="1.875" style="2" customWidth="1"/>
    <col min="13" max="13" width="21.125" style="2" customWidth="1"/>
    <col min="14" max="14" width="7.5" style="2" customWidth="1"/>
    <col min="15" max="16" width="5.625" style="2" customWidth="1"/>
    <col min="17" max="17" width="4.375" style="2" customWidth="1"/>
    <col min="18" max="21" width="1.875" style="2" customWidth="1"/>
    <col min="22" max="22" width="18.75" style="2" customWidth="1"/>
    <col min="23" max="23" width="1.875" style="2" customWidth="1"/>
    <col min="24" max="24" width="2.5" style="2" customWidth="1"/>
    <col min="25" max="25" width="5" style="2" customWidth="1"/>
    <col min="26" max="27" width="5.625" style="2" customWidth="1"/>
    <col min="28" max="28" width="4.375" style="2" customWidth="1"/>
    <col min="29" max="29" width="1.875" style="2" customWidth="1"/>
    <col min="30" max="35" width="2.75" style="2" customWidth="1"/>
    <col min="36" max="16384" width="9" style="2"/>
  </cols>
  <sheetData>
    <row r="1" spans="1:29" ht="11.25" customHeight="1">
      <c r="A1" s="161" t="s">
        <v>566</v>
      </c>
    </row>
    <row r="2" spans="1:29" ht="32.1" customHeight="1">
      <c r="A2" s="161" t="s">
        <v>567</v>
      </c>
      <c r="C2" s="272" t="s">
        <v>566</v>
      </c>
      <c r="D2" s="272"/>
      <c r="E2" s="272"/>
      <c r="F2" s="272"/>
      <c r="G2" s="272"/>
      <c r="H2" s="272"/>
      <c r="I2" s="272"/>
      <c r="J2" s="272"/>
      <c r="K2" s="272"/>
      <c r="L2" s="272"/>
      <c r="M2" s="272"/>
      <c r="N2" s="272"/>
      <c r="O2" s="272"/>
      <c r="P2" s="272"/>
      <c r="Q2" s="272"/>
      <c r="R2" s="272"/>
      <c r="S2" s="272"/>
      <c r="T2" s="272"/>
      <c r="U2" s="272"/>
      <c r="V2" s="272"/>
      <c r="W2" s="272"/>
      <c r="X2" s="272"/>
      <c r="Y2" s="272"/>
      <c r="Z2" s="272"/>
      <c r="AA2" s="272"/>
      <c r="AB2" s="272"/>
      <c r="AC2" s="272"/>
    </row>
    <row r="3" spans="1:29" ht="18.75" customHeight="1">
      <c r="A3" s="161" t="s">
        <v>568</v>
      </c>
      <c r="C3" s="311" t="s">
        <v>569</v>
      </c>
      <c r="D3" s="311"/>
      <c r="E3" s="311"/>
      <c r="F3" s="311"/>
      <c r="G3" s="311"/>
      <c r="H3" s="311"/>
      <c r="I3" s="311"/>
      <c r="J3" s="311"/>
      <c r="K3" s="311"/>
      <c r="L3" s="311"/>
      <c r="M3" s="311"/>
      <c r="N3" s="311"/>
      <c r="O3" s="311"/>
      <c r="P3" s="311"/>
      <c r="Q3" s="311"/>
      <c r="R3" s="311"/>
      <c r="S3" s="311"/>
      <c r="T3" s="311"/>
      <c r="U3" s="311"/>
      <c r="V3" s="311"/>
      <c r="W3" s="311"/>
      <c r="X3" s="311"/>
      <c r="Y3" s="311"/>
      <c r="Z3" s="311"/>
      <c r="AA3" s="311"/>
      <c r="AB3" s="311"/>
      <c r="AC3" s="311"/>
    </row>
    <row r="4" spans="1:29" ht="11.25" customHeight="1" thickBot="1">
      <c r="A4" s="170" t="s">
        <v>570</v>
      </c>
      <c r="B4" s="59"/>
      <c r="C4" s="120"/>
      <c r="D4" s="120"/>
      <c r="E4" s="120"/>
      <c r="F4" s="120"/>
      <c r="G4" s="120"/>
      <c r="H4" s="120"/>
      <c r="I4" s="120"/>
      <c r="J4" s="120"/>
      <c r="K4" s="120"/>
      <c r="L4" s="120"/>
      <c r="M4" s="120"/>
      <c r="N4" s="120"/>
      <c r="O4" s="120"/>
      <c r="P4" s="120"/>
      <c r="Q4" s="120"/>
      <c r="R4" s="120"/>
      <c r="S4" s="120"/>
      <c r="T4" s="120"/>
      <c r="U4" s="120"/>
      <c r="V4" s="120"/>
      <c r="W4" s="120"/>
      <c r="X4" s="120"/>
      <c r="Y4" s="120"/>
      <c r="Z4" s="120"/>
      <c r="AA4" s="120"/>
      <c r="AB4" s="120"/>
      <c r="AC4" s="120"/>
    </row>
    <row r="5" spans="1:29" ht="30" customHeight="1">
      <c r="A5" s="170" t="s">
        <v>571</v>
      </c>
      <c r="B5" s="59"/>
      <c r="C5" s="72"/>
      <c r="D5" s="214" t="s">
        <v>572</v>
      </c>
      <c r="E5" s="214"/>
      <c r="F5" s="214"/>
      <c r="G5" s="214"/>
      <c r="H5" s="214"/>
      <c r="I5" s="214"/>
      <c r="J5" s="214"/>
      <c r="K5" s="214"/>
      <c r="L5" s="214"/>
      <c r="M5" s="214"/>
      <c r="N5" s="214"/>
      <c r="O5" s="214"/>
      <c r="P5" s="214"/>
      <c r="Q5" s="214"/>
      <c r="R5" s="214"/>
      <c r="S5" s="214"/>
      <c r="T5" s="214"/>
      <c r="U5" s="214"/>
      <c r="V5" s="214"/>
      <c r="W5" s="214"/>
      <c r="X5" s="214"/>
      <c r="Y5" s="214"/>
      <c r="Z5" s="214"/>
      <c r="AA5" s="214"/>
      <c r="AB5" s="214"/>
      <c r="AC5" s="72"/>
    </row>
    <row r="6" spans="1:29" ht="15" customHeight="1">
      <c r="A6" s="170" t="s">
        <v>545</v>
      </c>
      <c r="B6" s="59"/>
      <c r="C6" s="72"/>
      <c r="D6" s="216" t="s">
        <v>573</v>
      </c>
      <c r="E6" s="216"/>
      <c r="F6" s="216"/>
      <c r="G6" s="216"/>
      <c r="H6" s="216"/>
      <c r="I6" s="216"/>
      <c r="J6" s="216"/>
      <c r="K6" s="216"/>
      <c r="L6" s="216"/>
      <c r="M6" s="216"/>
      <c r="N6" s="216"/>
      <c r="O6" s="72"/>
      <c r="P6" s="72"/>
      <c r="Q6" s="72"/>
      <c r="R6" s="72"/>
      <c r="S6" s="72"/>
      <c r="T6" s="72"/>
      <c r="U6" s="84"/>
      <c r="V6" s="84"/>
      <c r="W6" s="84"/>
      <c r="X6" s="458"/>
      <c r="Y6" s="458"/>
      <c r="Z6" s="84"/>
      <c r="AA6" s="84"/>
      <c r="AB6" s="84"/>
      <c r="AC6" s="72"/>
    </row>
    <row r="7" spans="1:29" ht="15" customHeight="1">
      <c r="A7" s="59"/>
      <c r="B7" s="59"/>
      <c r="C7" s="72"/>
      <c r="D7" s="216"/>
      <c r="E7" s="216"/>
      <c r="F7" s="216"/>
      <c r="G7" s="216"/>
      <c r="H7" s="216"/>
      <c r="I7" s="216"/>
      <c r="J7" s="216"/>
      <c r="K7" s="216"/>
      <c r="L7" s="216"/>
      <c r="M7" s="216"/>
      <c r="N7" s="216"/>
      <c r="O7" s="72"/>
      <c r="P7" s="72"/>
      <c r="Q7" s="72"/>
      <c r="R7" s="72"/>
      <c r="S7" s="72"/>
      <c r="T7" s="72"/>
      <c r="U7" s="84"/>
      <c r="V7" s="84"/>
      <c r="W7" s="84"/>
      <c r="X7" s="458"/>
      <c r="Y7" s="458"/>
      <c r="Z7" s="84"/>
      <c r="AA7" s="84"/>
      <c r="AB7" s="84"/>
      <c r="AC7" s="72"/>
    </row>
    <row r="8" spans="1:29" ht="11.25" customHeight="1">
      <c r="A8" s="59"/>
      <c r="B8" s="59"/>
      <c r="C8" s="72"/>
      <c r="D8" s="216"/>
      <c r="E8" s="216"/>
      <c r="F8" s="216"/>
      <c r="G8" s="216"/>
      <c r="H8" s="216"/>
      <c r="I8" s="216"/>
      <c r="J8" s="216"/>
      <c r="K8" s="216"/>
      <c r="L8" s="216"/>
      <c r="M8" s="216"/>
      <c r="N8" s="216"/>
      <c r="O8" s="72"/>
      <c r="P8" s="72"/>
      <c r="Q8" s="72"/>
      <c r="R8" s="72"/>
      <c r="S8" s="72"/>
      <c r="T8" s="72"/>
      <c r="U8" s="84"/>
      <c r="V8" s="291" t="s">
        <v>574</v>
      </c>
      <c r="W8" s="291"/>
      <c r="X8" s="287" t="s">
        <v>109</v>
      </c>
      <c r="Y8" s="287"/>
      <c r="Z8" s="287" t="s">
        <v>575</v>
      </c>
      <c r="AA8" s="287" t="s">
        <v>576</v>
      </c>
      <c r="AB8" s="287" t="s">
        <v>561</v>
      </c>
      <c r="AC8" s="72"/>
    </row>
    <row r="9" spans="1:29" ht="3.75" customHeight="1" thickBot="1">
      <c r="A9" s="59"/>
      <c r="B9" s="59"/>
      <c r="C9" s="72"/>
      <c r="D9" s="216"/>
      <c r="E9" s="216"/>
      <c r="F9" s="216"/>
      <c r="G9" s="216"/>
      <c r="H9" s="216"/>
      <c r="I9" s="216"/>
      <c r="J9" s="216"/>
      <c r="K9" s="216"/>
      <c r="L9" s="216"/>
      <c r="M9" s="216"/>
      <c r="N9" s="216"/>
      <c r="O9" s="72"/>
      <c r="P9" s="72"/>
      <c r="Q9" s="72"/>
      <c r="R9" s="72"/>
      <c r="S9" s="72"/>
      <c r="T9" s="72"/>
      <c r="U9" s="84"/>
      <c r="V9" s="291"/>
      <c r="W9" s="291"/>
      <c r="X9" s="287"/>
      <c r="Y9" s="287"/>
      <c r="Z9" s="287"/>
      <c r="AA9" s="287"/>
      <c r="AB9" s="287"/>
      <c r="AC9" s="72"/>
    </row>
    <row r="10" spans="1:29" ht="15" customHeight="1" thickBot="1">
      <c r="A10" s="59"/>
      <c r="B10" s="59"/>
      <c r="C10" s="72"/>
      <c r="D10" s="216"/>
      <c r="E10" s="216"/>
      <c r="F10" s="216"/>
      <c r="G10" s="216"/>
      <c r="H10" s="216"/>
      <c r="I10" s="216"/>
      <c r="J10" s="216"/>
      <c r="K10" s="216"/>
      <c r="L10" s="216"/>
      <c r="M10" s="216"/>
      <c r="N10" s="216"/>
      <c r="O10" s="72"/>
      <c r="P10" s="72"/>
      <c r="Q10" s="72"/>
      <c r="R10" s="72"/>
      <c r="S10" s="72"/>
      <c r="T10" s="5"/>
      <c r="U10" s="84"/>
      <c r="V10" s="292" t="e" vm="115">
        <v>#VALUE!</v>
      </c>
      <c r="W10" s="293"/>
      <c r="X10" s="282" t="str" cm="1">
        <f t="array" ref="X10">_FV(V10,"Gender")</f>
        <v>Female</v>
      </c>
      <c r="Y10" s="282"/>
      <c r="Z10" s="147" cm="1">
        <f t="array" ref="Z10">_FV(V10,"Birth year",TRUE)</f>
        <v>2015</v>
      </c>
      <c r="AA10" s="147" t="str" cm="1">
        <f t="array" ref="AA10">_FV(V10,"Death Year",TRUE)</f>
        <v/>
      </c>
      <c r="AB10" s="147">
        <f ca="1">IF(Z10="","",IF(AA10="",YEAR(NOW()),AA10)-Z10)</f>
        <v>10</v>
      </c>
      <c r="AC10" s="72"/>
    </row>
    <row r="11" spans="1:29" ht="3.75" customHeight="1">
      <c r="A11" s="59"/>
      <c r="B11" s="59"/>
      <c r="C11" s="72"/>
      <c r="D11" s="145"/>
      <c r="E11" s="145"/>
      <c r="F11" s="145"/>
      <c r="G11" s="145"/>
      <c r="H11" s="145"/>
      <c r="I11" s="145"/>
      <c r="J11" s="145"/>
      <c r="K11" s="72"/>
      <c r="L11" s="72"/>
      <c r="M11" s="72"/>
      <c r="N11" s="72"/>
      <c r="O11" s="72"/>
      <c r="P11" s="72"/>
      <c r="Q11" s="72"/>
      <c r="R11" s="72"/>
      <c r="S11" s="4"/>
      <c r="T11" s="3"/>
      <c r="U11" s="84"/>
      <c r="V11" s="84"/>
      <c r="W11" s="84"/>
      <c r="X11" s="84"/>
      <c r="Y11" s="84"/>
      <c r="Z11" s="84"/>
      <c r="AA11" s="84"/>
      <c r="AB11" s="84"/>
      <c r="AC11" s="72"/>
    </row>
    <row r="12" spans="1:29" ht="15" customHeight="1">
      <c r="A12" s="59"/>
      <c r="B12" s="59"/>
      <c r="C12" s="72"/>
      <c r="D12" s="110"/>
      <c r="E12" s="110"/>
      <c r="F12" s="110"/>
      <c r="G12" s="110"/>
      <c r="H12" s="110"/>
      <c r="I12" s="110"/>
      <c r="J12" s="145"/>
      <c r="K12" s="72"/>
      <c r="L12" s="72"/>
      <c r="M12" s="72"/>
      <c r="N12" s="72"/>
      <c r="O12" s="72"/>
      <c r="P12" s="72"/>
      <c r="Q12" s="72"/>
      <c r="R12" s="72"/>
      <c r="S12" s="4"/>
      <c r="T12" s="72"/>
      <c r="U12" s="78"/>
      <c r="V12" s="78" t="s">
        <v>577</v>
      </c>
      <c r="W12" s="78"/>
      <c r="X12" s="78"/>
      <c r="Y12" s="78"/>
      <c r="Z12" s="78"/>
      <c r="AA12" s="78"/>
      <c r="AB12" s="78"/>
      <c r="AC12" s="72"/>
    </row>
    <row r="13" spans="1:29" ht="11.25" customHeight="1">
      <c r="A13" s="59"/>
      <c r="B13" s="59"/>
      <c r="C13" s="72"/>
      <c r="D13" s="110"/>
      <c r="E13" s="110"/>
      <c r="F13" s="110"/>
      <c r="G13" s="110"/>
      <c r="H13" s="110"/>
      <c r="I13" s="110"/>
      <c r="J13" s="145"/>
      <c r="K13" s="72"/>
      <c r="L13" s="72"/>
      <c r="M13" s="72"/>
      <c r="N13" s="72"/>
      <c r="O13" s="72"/>
      <c r="P13" s="72"/>
      <c r="Q13" s="72"/>
      <c r="R13" s="72"/>
      <c r="S13" s="4"/>
      <c r="T13" s="72"/>
      <c r="U13" s="72"/>
      <c r="V13" s="72"/>
      <c r="W13" s="72"/>
      <c r="X13" s="72"/>
      <c r="Y13" s="72"/>
      <c r="Z13" s="72"/>
      <c r="AA13" s="72"/>
      <c r="AB13" s="72"/>
      <c r="AC13" s="72"/>
    </row>
    <row r="14" spans="1:29" ht="15" customHeight="1" thickBot="1">
      <c r="A14" s="59"/>
      <c r="B14" s="59"/>
      <c r="C14" s="72"/>
      <c r="D14" s="110"/>
      <c r="E14" s="110"/>
      <c r="F14" s="110"/>
      <c r="G14" s="110"/>
      <c r="H14" s="110"/>
      <c r="I14" s="110"/>
      <c r="J14" s="145"/>
      <c r="K14" s="72"/>
      <c r="L14" s="72"/>
      <c r="M14" s="72"/>
      <c r="N14" s="72"/>
      <c r="O14" s="72"/>
      <c r="P14" s="72"/>
      <c r="Q14" s="72"/>
      <c r="R14" s="72"/>
      <c r="S14" s="4"/>
      <c r="T14" s="72"/>
      <c r="U14" s="110"/>
      <c r="V14" s="110"/>
      <c r="W14" s="110"/>
      <c r="X14" s="459"/>
      <c r="Y14" s="459"/>
      <c r="Z14" s="110"/>
      <c r="AA14" s="110"/>
      <c r="AB14" s="110"/>
      <c r="AC14" s="72"/>
    </row>
    <row r="15" spans="1:29" ht="15" customHeight="1" thickBot="1">
      <c r="A15" s="59"/>
      <c r="B15" s="59"/>
      <c r="C15" s="72"/>
      <c r="D15" s="110"/>
      <c r="E15" s="110"/>
      <c r="F15" s="110"/>
      <c r="G15" s="110"/>
      <c r="H15" s="110"/>
      <c r="I15" s="110"/>
      <c r="J15" s="13"/>
      <c r="K15" s="3"/>
      <c r="L15" s="110"/>
      <c r="M15" s="110"/>
      <c r="N15" s="110"/>
      <c r="O15" s="110"/>
      <c r="P15" s="110"/>
      <c r="Q15" s="110"/>
      <c r="R15" s="72"/>
      <c r="S15" s="4"/>
      <c r="T15" s="6"/>
      <c r="U15" s="110"/>
      <c r="V15" s="110"/>
      <c r="W15" s="110"/>
      <c r="X15" s="459"/>
      <c r="Y15" s="459"/>
      <c r="Z15" s="110"/>
      <c r="AA15" s="110"/>
      <c r="AB15" s="110"/>
      <c r="AC15" s="72"/>
    </row>
    <row r="16" spans="1:29" ht="15" customHeight="1" thickBot="1">
      <c r="A16" s="59"/>
      <c r="B16" s="59"/>
      <c r="C16" s="72"/>
      <c r="D16" s="110"/>
      <c r="E16" s="109" t="s">
        <v>578</v>
      </c>
      <c r="F16" s="150" t="s">
        <v>109</v>
      </c>
      <c r="G16" s="150" t="s">
        <v>575</v>
      </c>
      <c r="H16" s="150" t="s">
        <v>576</v>
      </c>
      <c r="I16" s="149" t="s">
        <v>561</v>
      </c>
      <c r="J16" s="10"/>
      <c r="K16" s="3"/>
      <c r="L16" s="110"/>
      <c r="M16" s="110"/>
      <c r="N16" s="110"/>
      <c r="O16" s="110"/>
      <c r="P16" s="110"/>
      <c r="Q16" s="110"/>
      <c r="R16" s="72"/>
      <c r="S16" s="4"/>
      <c r="T16" s="5"/>
      <c r="U16" s="110"/>
      <c r="V16" s="296" t="s">
        <v>579</v>
      </c>
      <c r="W16" s="297"/>
      <c r="X16" s="286" t="s">
        <v>109</v>
      </c>
      <c r="Y16" s="288"/>
      <c r="Z16" s="153" t="s">
        <v>575</v>
      </c>
      <c r="AA16" s="153" t="s">
        <v>576</v>
      </c>
      <c r="AB16" s="149" t="s">
        <v>561</v>
      </c>
      <c r="AC16" s="72"/>
    </row>
    <row r="17" spans="1:29" ht="15" customHeight="1" thickBot="1">
      <c r="A17" s="59"/>
      <c r="B17" s="59"/>
      <c r="C17" s="72"/>
      <c r="D17" s="110"/>
      <c r="E17" s="119"/>
      <c r="F17" s="152" t="str" cm="1">
        <f t="array" ref="F17">IFERROR(_FV(E17,"Gender"),"")</f>
        <v/>
      </c>
      <c r="G17" s="152" t="str" cm="1">
        <f t="array" ref="G17">IFERROR(_FV(E17,"Birth year",TRUE),"")</f>
        <v/>
      </c>
      <c r="H17" s="152" t="str" cm="1">
        <f t="array" ref="H17">IFERROR(_FV(E17,"Death Year",TRUE),"")</f>
        <v/>
      </c>
      <c r="I17" s="112" t="str">
        <f ca="1">IF(G17="","",IF(H17="",YEAR(NOW()),H17)-G17)</f>
        <v/>
      </c>
      <c r="J17" s="10"/>
      <c r="K17" s="3"/>
      <c r="L17" s="110"/>
      <c r="M17" s="110"/>
      <c r="N17" s="110"/>
      <c r="O17" s="110"/>
      <c r="P17" s="110"/>
      <c r="Q17" s="110"/>
      <c r="R17" s="7"/>
      <c r="S17" s="4"/>
      <c r="T17" s="72"/>
      <c r="U17" s="110"/>
      <c r="V17" s="294"/>
      <c r="W17" s="295"/>
      <c r="X17" s="289" t="str" cm="1">
        <f t="array" ref="X17">IFERROR(_FV(V17,"Gender"),"")</f>
        <v/>
      </c>
      <c r="Y17" s="290"/>
      <c r="Z17" s="111" t="str" cm="1">
        <f t="array" ref="Z17">IFERROR(_FV(V17,"Birth year",TRUE),"")</f>
        <v/>
      </c>
      <c r="AA17" s="111" t="str" cm="1">
        <f t="array" ref="AA17">IFERROR(_FV(V17,"Death Year",TRUE),"")</f>
        <v/>
      </c>
      <c r="AB17" s="112" t="str">
        <f ca="1">IF(Z17="","",IF(AA17="",YEAR(NOW()),AA17)-Z17)</f>
        <v/>
      </c>
      <c r="AC17" s="72"/>
    </row>
    <row r="18" spans="1:29" ht="11.25" customHeight="1" thickBot="1">
      <c r="A18" s="59"/>
      <c r="B18" s="59"/>
      <c r="C18" s="72"/>
      <c r="D18" s="110"/>
      <c r="E18" s="283" t="str" cm="1">
        <f t="array" ref="E18">IFERROR(IF(_FV(E17,"Identification")="J5","Correct!","Try again!"),"")</f>
        <v/>
      </c>
      <c r="F18" s="110"/>
      <c r="G18" s="110"/>
      <c r="H18" s="110"/>
      <c r="I18" s="110"/>
      <c r="J18" s="10"/>
      <c r="K18" s="5"/>
      <c r="L18" s="110"/>
      <c r="M18" s="110"/>
      <c r="N18" s="110"/>
      <c r="O18" s="110"/>
      <c r="P18" s="110"/>
      <c r="Q18" s="110"/>
      <c r="R18" s="9"/>
      <c r="S18" s="4"/>
      <c r="T18" s="72"/>
      <c r="U18" s="110"/>
      <c r="V18" s="148" t="str" cm="1">
        <f t="array" ref="V18">IFERROR(IF(_FV(V17,"Identification")="J28","Correct!","Try again!"),"")</f>
        <v/>
      </c>
      <c r="W18" s="148"/>
      <c r="X18" s="110"/>
      <c r="Y18" s="110"/>
      <c r="Z18" s="110"/>
      <c r="AA18" s="110"/>
      <c r="AB18" s="110"/>
      <c r="AC18" s="72"/>
    </row>
    <row r="19" spans="1:29" ht="3" customHeight="1">
      <c r="A19" s="59"/>
      <c r="B19" s="59"/>
      <c r="C19" s="72"/>
      <c r="D19" s="110"/>
      <c r="E19" s="284"/>
      <c r="F19" s="110"/>
      <c r="G19" s="110"/>
      <c r="H19" s="110"/>
      <c r="I19" s="110"/>
      <c r="J19" s="10"/>
      <c r="K19" s="3"/>
      <c r="L19" s="110"/>
      <c r="M19" s="312" t="s">
        <v>580</v>
      </c>
      <c r="N19" s="286" t="s">
        <v>109</v>
      </c>
      <c r="O19" s="314" t="s">
        <v>575</v>
      </c>
      <c r="P19" s="288" t="s">
        <v>576</v>
      </c>
      <c r="Q19" s="286" t="s">
        <v>561</v>
      </c>
      <c r="R19" s="4"/>
      <c r="S19" s="4"/>
      <c r="T19" s="72"/>
      <c r="U19" s="110"/>
      <c r="V19" s="116"/>
      <c r="W19" s="148"/>
      <c r="X19" s="110"/>
      <c r="Y19" s="110"/>
      <c r="Z19" s="110"/>
      <c r="AA19" s="110"/>
      <c r="AB19" s="110"/>
      <c r="AC19" s="72"/>
    </row>
    <row r="20" spans="1:29" ht="11.25" customHeight="1" thickBot="1">
      <c r="A20" s="59"/>
      <c r="B20" s="59"/>
      <c r="C20" s="72"/>
      <c r="D20" s="72"/>
      <c r="E20" s="72"/>
      <c r="F20" s="72"/>
      <c r="G20" s="72"/>
      <c r="H20" s="72"/>
      <c r="I20" s="72"/>
      <c r="J20" s="4"/>
      <c r="K20" s="3"/>
      <c r="L20" s="110"/>
      <c r="M20" s="313"/>
      <c r="N20" s="286"/>
      <c r="O20" s="314"/>
      <c r="P20" s="288"/>
      <c r="Q20" s="286"/>
      <c r="R20" s="4"/>
      <c r="S20" s="4"/>
      <c r="T20" s="72"/>
      <c r="U20" s="72"/>
      <c r="V20" s="72"/>
      <c r="W20" s="72"/>
      <c r="X20" s="72"/>
      <c r="Y20" s="72"/>
      <c r="Z20" s="72"/>
      <c r="AA20" s="72"/>
      <c r="AB20" s="72"/>
      <c r="AC20" s="72"/>
    </row>
    <row r="21" spans="1:29" ht="15" customHeight="1" thickBot="1">
      <c r="A21" s="59"/>
      <c r="B21" s="59"/>
      <c r="C21" s="72"/>
      <c r="D21" s="110"/>
      <c r="E21" s="110"/>
      <c r="F21" s="110"/>
      <c r="G21" s="110"/>
      <c r="H21" s="110"/>
      <c r="I21" s="110"/>
      <c r="J21" s="10"/>
      <c r="K21" s="3"/>
      <c r="L21" s="110"/>
      <c r="M21" s="118"/>
      <c r="N21" s="151" t="str" cm="1">
        <f t="array" ref="N21">IFERROR(_FV(M21,"Gender"),"")</f>
        <v/>
      </c>
      <c r="O21" s="111" t="str" cm="1">
        <f t="array" ref="O21">IFERROR(_FV(M21,"Birth year",TRUE),"")</f>
        <v/>
      </c>
      <c r="P21" s="152" t="str" cm="1">
        <f t="array" ref="P21">IFERROR(_FV(M21,"Death Year",TRUE),"")</f>
        <v/>
      </c>
      <c r="Q21" s="112" t="str">
        <f ca="1">IF(O21="","",IF(P21="",YEAR(NOW()),P21)-O21)</f>
        <v/>
      </c>
      <c r="R21" s="4"/>
      <c r="S21" s="4"/>
      <c r="T21" s="72"/>
      <c r="U21" s="110"/>
      <c r="V21" s="110"/>
      <c r="W21" s="110"/>
      <c r="X21" s="459"/>
      <c r="Y21" s="459"/>
      <c r="Z21" s="110"/>
      <c r="AA21" s="110"/>
      <c r="AB21" s="110"/>
      <c r="AC21" s="72"/>
    </row>
    <row r="22" spans="1:29" ht="15" customHeight="1" thickBot="1">
      <c r="A22" s="59"/>
      <c r="B22" s="59"/>
      <c r="C22" s="72"/>
      <c r="D22" s="110"/>
      <c r="E22" s="110"/>
      <c r="F22" s="110"/>
      <c r="G22" s="110"/>
      <c r="H22" s="110"/>
      <c r="I22" s="110"/>
      <c r="J22" s="10"/>
      <c r="K22" s="3"/>
      <c r="L22" s="110"/>
      <c r="M22" s="283" t="str" cm="1">
        <f t="array" ref="M22">IFERROR(IF(_FV(M21,"Identification")="J17","Correct!","Try again!"),"")</f>
        <v/>
      </c>
      <c r="N22" s="284"/>
      <c r="O22" s="110"/>
      <c r="P22" s="110"/>
      <c r="Q22" s="110"/>
      <c r="R22" s="4"/>
      <c r="S22" s="14"/>
      <c r="T22" s="72"/>
      <c r="U22" s="110"/>
      <c r="V22" s="110"/>
      <c r="W22" s="110"/>
      <c r="X22" s="459"/>
      <c r="Y22" s="459"/>
      <c r="Z22" s="110"/>
      <c r="AA22" s="110"/>
      <c r="AB22" s="110"/>
      <c r="AC22" s="72"/>
    </row>
    <row r="23" spans="1:29" ht="3" customHeight="1">
      <c r="A23" s="59"/>
      <c r="B23" s="59"/>
      <c r="C23" s="72"/>
      <c r="D23" s="110"/>
      <c r="E23" s="110"/>
      <c r="F23" s="110"/>
      <c r="G23" s="110"/>
      <c r="H23" s="110"/>
      <c r="I23" s="110"/>
      <c r="J23" s="10"/>
      <c r="K23" s="72"/>
      <c r="L23" s="110"/>
      <c r="M23" s="110"/>
      <c r="N23" s="110"/>
      <c r="O23" s="110"/>
      <c r="P23" s="110"/>
      <c r="Q23" s="110"/>
      <c r="R23" s="4"/>
      <c r="S23" s="15"/>
      <c r="T23" s="5"/>
      <c r="U23" s="110"/>
      <c r="V23" s="298" t="s">
        <v>581</v>
      </c>
      <c r="W23" s="299"/>
      <c r="X23" s="285" t="s">
        <v>109</v>
      </c>
      <c r="Y23" s="286"/>
      <c r="Z23" s="286" t="s">
        <v>575</v>
      </c>
      <c r="AA23" s="286" t="s">
        <v>576</v>
      </c>
      <c r="AB23" s="286" t="s">
        <v>561</v>
      </c>
      <c r="AC23" s="72"/>
    </row>
    <row r="24" spans="1:29" ht="11.25" customHeight="1" thickBot="1">
      <c r="A24" s="59"/>
      <c r="B24" s="59"/>
      <c r="C24" s="72"/>
      <c r="D24" s="110"/>
      <c r="E24" s="110"/>
      <c r="F24" s="110"/>
      <c r="G24" s="110"/>
      <c r="H24" s="110"/>
      <c r="I24" s="110"/>
      <c r="J24" s="12"/>
      <c r="K24" s="145"/>
      <c r="L24" s="145"/>
      <c r="M24" s="145"/>
      <c r="N24" s="145"/>
      <c r="O24" s="145"/>
      <c r="P24" s="145"/>
      <c r="Q24" s="145"/>
      <c r="R24" s="10"/>
      <c r="S24" s="4"/>
      <c r="T24" s="72"/>
      <c r="U24" s="110"/>
      <c r="V24" s="300"/>
      <c r="W24" s="301"/>
      <c r="X24" s="285"/>
      <c r="Y24" s="286"/>
      <c r="Z24" s="286"/>
      <c r="AA24" s="286"/>
      <c r="AB24" s="286"/>
      <c r="AC24" s="72"/>
    </row>
    <row r="25" spans="1:29" ht="15" customHeight="1" thickBot="1">
      <c r="A25" s="59"/>
      <c r="B25" s="59"/>
      <c r="C25" s="72"/>
      <c r="D25" s="110"/>
      <c r="E25" s="110"/>
      <c r="F25" s="110"/>
      <c r="G25" s="110"/>
      <c r="H25" s="110"/>
      <c r="I25" s="110"/>
      <c r="J25" s="145"/>
      <c r="K25" s="145"/>
      <c r="L25" s="110"/>
      <c r="M25" s="110"/>
      <c r="N25" s="110"/>
      <c r="O25" s="110"/>
      <c r="P25" s="110"/>
      <c r="Q25" s="110"/>
      <c r="R25" s="10"/>
      <c r="S25" s="4"/>
      <c r="T25" s="3"/>
      <c r="U25" s="110"/>
      <c r="V25" s="294"/>
      <c r="W25" s="295"/>
      <c r="X25" s="289" t="str" cm="1">
        <f t="array" ref="X25">IFERROR(_FV(V25,"Gender"),"")</f>
        <v/>
      </c>
      <c r="Y25" s="290"/>
      <c r="Z25" s="152" t="str" cm="1">
        <f t="array" ref="Z25">IFERROR(_FV(V25,"Birth year",TRUE),"")</f>
        <v/>
      </c>
      <c r="AA25" s="111" t="str" cm="1">
        <f t="array" ref="AA25">IFERROR(_FV(V25,"Death Year",TRUE),"")</f>
        <v/>
      </c>
      <c r="AB25" s="112" t="str">
        <f ca="1">IF(Z25="","",IF(AA25="",YEAR(NOW()),AA25)-Z25)</f>
        <v/>
      </c>
      <c r="AC25" s="72"/>
    </row>
    <row r="26" spans="1:29" ht="15" customHeight="1">
      <c r="A26" s="59"/>
      <c r="B26" s="59"/>
      <c r="C26" s="72"/>
      <c r="D26" s="110"/>
      <c r="E26" s="117" t="s">
        <v>582</v>
      </c>
      <c r="F26" s="110"/>
      <c r="G26" s="110"/>
      <c r="H26" s="110"/>
      <c r="I26" s="110"/>
      <c r="J26" s="145"/>
      <c r="K26" s="72"/>
      <c r="L26" s="110"/>
      <c r="M26" s="110"/>
      <c r="N26" s="110"/>
      <c r="O26" s="110"/>
      <c r="P26" s="110"/>
      <c r="Q26" s="110"/>
      <c r="R26" s="4"/>
      <c r="S26" s="4"/>
      <c r="T26" s="72"/>
      <c r="U26" s="110"/>
      <c r="V26" s="324" t="str" cm="1">
        <f t="array" ref="V26">IFERROR(IF(_FV(V25,"Identification")="J35","Correct!","Try again!"),"")</f>
        <v/>
      </c>
      <c r="W26" s="324"/>
      <c r="X26" s="110"/>
      <c r="Y26" s="110"/>
      <c r="Z26" s="110"/>
      <c r="AA26" s="110"/>
      <c r="AB26" s="110"/>
      <c r="AC26" s="72"/>
    </row>
    <row r="27" spans="1:29" ht="11.25" customHeight="1" thickBot="1">
      <c r="A27" s="59"/>
      <c r="B27" s="59"/>
      <c r="C27" s="72"/>
      <c r="D27" s="110"/>
      <c r="E27" s="110"/>
      <c r="F27" s="110"/>
      <c r="G27" s="110"/>
      <c r="H27" s="110"/>
      <c r="I27" s="110"/>
      <c r="J27" s="145"/>
      <c r="K27" s="72"/>
      <c r="L27" s="110"/>
      <c r="M27" s="110"/>
      <c r="N27" s="110"/>
      <c r="O27" s="110"/>
      <c r="P27" s="110"/>
      <c r="Q27" s="110"/>
      <c r="R27" s="11"/>
      <c r="S27" s="4"/>
      <c r="T27" s="72"/>
      <c r="U27" s="72"/>
      <c r="V27" s="72"/>
      <c r="W27" s="72"/>
      <c r="X27" s="72"/>
      <c r="Y27" s="72"/>
      <c r="Z27" s="72"/>
      <c r="AA27" s="72"/>
      <c r="AB27" s="72"/>
      <c r="AC27" s="72"/>
    </row>
    <row r="28" spans="1:29" ht="15" customHeight="1">
      <c r="A28" s="59"/>
      <c r="B28" s="59"/>
      <c r="C28" s="72"/>
      <c r="D28" s="145"/>
      <c r="E28" s="145"/>
      <c r="F28" s="145"/>
      <c r="G28" s="145"/>
      <c r="H28" s="145"/>
      <c r="I28" s="145"/>
      <c r="J28" s="145"/>
      <c r="K28" s="72"/>
      <c r="L28" s="110"/>
      <c r="M28" s="110"/>
      <c r="N28" s="110"/>
      <c r="O28" s="110"/>
      <c r="P28" s="110"/>
      <c r="Q28" s="110"/>
      <c r="R28" s="72"/>
      <c r="S28" s="4"/>
      <c r="T28" s="72"/>
      <c r="U28" s="110"/>
      <c r="V28" s="110"/>
      <c r="W28" s="110"/>
      <c r="X28" s="459"/>
      <c r="Y28" s="459"/>
      <c r="Z28" s="110"/>
      <c r="AA28" s="110"/>
      <c r="AB28" s="110"/>
      <c r="AC28" s="72"/>
    </row>
    <row r="29" spans="1:29" ht="15" customHeight="1" thickBot="1">
      <c r="A29" s="59"/>
      <c r="B29" s="59"/>
      <c r="C29" s="72"/>
      <c r="D29" s="145"/>
      <c r="E29" s="145"/>
      <c r="F29" s="145"/>
      <c r="G29" s="145"/>
      <c r="H29" s="145"/>
      <c r="I29" s="145"/>
      <c r="J29" s="145"/>
      <c r="K29" s="72"/>
      <c r="L29" s="110"/>
      <c r="M29" s="117" t="s">
        <v>583</v>
      </c>
      <c r="N29" s="110"/>
      <c r="O29" s="110"/>
      <c r="P29" s="110"/>
      <c r="Q29" s="110"/>
      <c r="R29" s="72"/>
      <c r="S29" s="4"/>
      <c r="T29" s="72"/>
      <c r="U29" s="110"/>
      <c r="V29" s="110"/>
      <c r="W29" s="110"/>
      <c r="X29" s="459"/>
      <c r="Y29" s="459"/>
      <c r="Z29" s="110"/>
      <c r="AA29" s="110"/>
      <c r="AB29" s="110"/>
      <c r="AC29" s="72"/>
    </row>
    <row r="30" spans="1:29" ht="15" customHeight="1" thickBot="1">
      <c r="A30" s="59"/>
      <c r="B30" s="59"/>
      <c r="C30" s="72"/>
      <c r="D30" s="145"/>
      <c r="E30" s="145"/>
      <c r="F30" s="145"/>
      <c r="G30" s="145"/>
      <c r="H30" s="145"/>
      <c r="I30" s="145"/>
      <c r="J30" s="145"/>
      <c r="K30" s="72"/>
      <c r="L30" s="110"/>
      <c r="M30" s="110"/>
      <c r="N30" s="110"/>
      <c r="O30" s="110"/>
      <c r="P30" s="110"/>
      <c r="Q30" s="110"/>
      <c r="R30" s="72"/>
      <c r="S30" s="72"/>
      <c r="T30" s="8"/>
      <c r="U30" s="110"/>
      <c r="V30" s="296" t="s">
        <v>584</v>
      </c>
      <c r="W30" s="297"/>
      <c r="X30" s="285" t="s">
        <v>109</v>
      </c>
      <c r="Y30" s="323"/>
      <c r="Z30" s="115" t="s">
        <v>575</v>
      </c>
      <c r="AA30" s="115" t="s">
        <v>576</v>
      </c>
      <c r="AB30" s="149" t="s">
        <v>561</v>
      </c>
      <c r="AC30" s="72"/>
    </row>
    <row r="31" spans="1:29" ht="15" customHeight="1" thickBot="1">
      <c r="A31" s="59"/>
      <c r="B31" s="59"/>
      <c r="C31" s="72"/>
      <c r="D31" s="145"/>
      <c r="E31" s="145"/>
      <c r="F31" s="145"/>
      <c r="G31" s="145"/>
      <c r="H31" s="145"/>
      <c r="I31" s="145"/>
      <c r="J31" s="145"/>
      <c r="K31" s="145"/>
      <c r="L31" s="145"/>
      <c r="M31" s="145"/>
      <c r="N31" s="145"/>
      <c r="O31" s="145"/>
      <c r="P31" s="145"/>
      <c r="Q31" s="145"/>
      <c r="R31" s="72"/>
      <c r="S31" s="72"/>
      <c r="T31" s="72"/>
      <c r="U31" s="110"/>
      <c r="V31" s="294"/>
      <c r="W31" s="295"/>
      <c r="X31" s="289" t="str" cm="1">
        <f t="array" ref="X31">IFERROR(_FV(V31,"Gender"),"")</f>
        <v/>
      </c>
      <c r="Y31" s="325"/>
      <c r="Z31" s="113" t="str" cm="1">
        <f t="array" ref="Z31">IFERROR(_FV(V31,"Birth year",TRUE),"")</f>
        <v/>
      </c>
      <c r="AA31" s="113" t="str" cm="1">
        <f t="array" ref="AA31">IFERROR(_FV(V31,"Death Year",TRUE),"")</f>
        <v/>
      </c>
      <c r="AB31" s="112" t="str">
        <f ca="1">IF(Z31="","",IF(AA31="",YEAR(NOW()),AA31)-Z31)</f>
        <v/>
      </c>
      <c r="AC31" s="72"/>
    </row>
    <row r="32" spans="1:29" ht="15" customHeight="1">
      <c r="A32" s="59"/>
      <c r="B32" s="59"/>
      <c r="C32" s="72"/>
      <c r="D32" s="145"/>
      <c r="E32" s="145"/>
      <c r="F32" s="145"/>
      <c r="G32" s="145"/>
      <c r="H32" s="145"/>
      <c r="I32" s="145"/>
      <c r="J32" s="145"/>
      <c r="K32" s="145"/>
      <c r="L32" s="145"/>
      <c r="M32" s="145"/>
      <c r="N32" s="145"/>
      <c r="O32" s="145"/>
      <c r="P32" s="145"/>
      <c r="Q32" s="145"/>
      <c r="R32" s="72"/>
      <c r="S32" s="72"/>
      <c r="T32" s="72"/>
      <c r="U32" s="110"/>
      <c r="V32" s="283" t="str" cm="1">
        <f t="array" ref="V32">IFERROR(IF(_FV(V31,"Identification")="J44","Correct!","Try again!"),"")</f>
        <v/>
      </c>
      <c r="W32" s="283"/>
      <c r="X32" s="110"/>
      <c r="Y32" s="110"/>
      <c r="Z32" s="110"/>
      <c r="AA32" s="110"/>
      <c r="AB32" s="110"/>
      <c r="AC32" s="72"/>
    </row>
    <row r="33" spans="1:29" ht="11.25" customHeight="1">
      <c r="A33" s="59"/>
      <c r="B33" s="59"/>
      <c r="C33" s="72"/>
      <c r="D33" s="145"/>
      <c r="E33" s="145"/>
      <c r="F33" s="145"/>
      <c r="G33" s="145"/>
      <c r="H33" s="145"/>
      <c r="I33" s="145"/>
      <c r="J33" s="145"/>
      <c r="K33" s="72"/>
      <c r="L33" s="72"/>
      <c r="M33" s="72"/>
      <c r="N33" s="72"/>
      <c r="O33" s="72"/>
      <c r="P33" s="72"/>
      <c r="Q33" s="72"/>
      <c r="R33" s="72"/>
      <c r="S33" s="72"/>
      <c r="T33" s="72"/>
      <c r="U33" s="72"/>
      <c r="V33" s="72"/>
      <c r="W33" s="72"/>
      <c r="X33" s="72"/>
      <c r="Y33" s="72"/>
      <c r="Z33" s="72"/>
      <c r="AA33" s="72"/>
      <c r="AB33" s="72"/>
      <c r="AC33" s="72"/>
    </row>
    <row r="34" spans="1:29" ht="11.25" customHeight="1" thickBot="1">
      <c r="A34" s="59"/>
      <c r="B34" s="59"/>
      <c r="C34" s="120"/>
      <c r="D34" s="120"/>
      <c r="E34" s="120"/>
      <c r="F34" s="120"/>
      <c r="G34" s="120"/>
      <c r="H34" s="120"/>
      <c r="I34" s="120"/>
      <c r="J34" s="120"/>
      <c r="K34" s="120"/>
      <c r="L34" s="120"/>
      <c r="M34" s="120"/>
      <c r="N34" s="120"/>
      <c r="O34" s="120"/>
      <c r="P34" s="120"/>
      <c r="Q34" s="120"/>
      <c r="R34" s="120"/>
      <c r="T34" s="120"/>
      <c r="U34" s="120"/>
      <c r="V34" s="120"/>
      <c r="W34" s="120"/>
      <c r="X34" s="120"/>
      <c r="Y34" s="120"/>
      <c r="Z34" s="120"/>
      <c r="AA34" s="120"/>
      <c r="AB34" s="120"/>
      <c r="AC34" s="120"/>
    </row>
    <row r="35" spans="1:29" ht="30" customHeight="1">
      <c r="A35" s="59"/>
      <c r="B35" s="59"/>
      <c r="C35" s="72"/>
      <c r="D35" s="281" t="s">
        <v>585</v>
      </c>
      <c r="E35" s="281"/>
      <c r="F35" s="281"/>
      <c r="G35" s="281"/>
      <c r="H35" s="72"/>
      <c r="I35" s="72"/>
      <c r="J35" s="72"/>
      <c r="K35" s="72"/>
      <c r="L35" s="72"/>
      <c r="M35" s="72"/>
      <c r="N35" s="72"/>
      <c r="O35" s="72"/>
      <c r="P35" s="72"/>
      <c r="Q35" s="72"/>
      <c r="R35" s="72"/>
      <c r="T35" s="72"/>
      <c r="U35" s="214" t="s">
        <v>586</v>
      </c>
      <c r="V35" s="214"/>
      <c r="W35" s="214"/>
      <c r="X35" s="214"/>
      <c r="Y35" s="214"/>
      <c r="Z35" s="214"/>
      <c r="AA35" s="72"/>
      <c r="AB35" s="72"/>
      <c r="AC35" s="72"/>
    </row>
    <row r="36" spans="1:29" ht="18.75" customHeight="1">
      <c r="A36" s="59"/>
      <c r="B36" s="59"/>
      <c r="C36" s="72"/>
      <c r="D36" s="315" t="s">
        <v>587</v>
      </c>
      <c r="E36" s="315"/>
      <c r="F36" s="315"/>
      <c r="G36" s="315"/>
      <c r="H36" s="315"/>
      <c r="I36" s="315"/>
      <c r="J36" s="315"/>
      <c r="K36" s="315"/>
      <c r="L36" s="315"/>
      <c r="M36" s="315"/>
      <c r="N36" s="315"/>
      <c r="O36" s="315"/>
      <c r="P36" s="315"/>
      <c r="Q36" s="315"/>
      <c r="R36" s="72"/>
      <c r="T36" s="72"/>
      <c r="U36" s="72"/>
      <c r="V36" s="72"/>
      <c r="W36" s="72"/>
      <c r="X36" s="72"/>
      <c r="Y36" s="72"/>
      <c r="Z36" s="72"/>
      <c r="AA36" s="72"/>
      <c r="AB36" s="72"/>
      <c r="AC36" s="72"/>
    </row>
    <row r="37" spans="1:29" ht="3.75" customHeight="1" thickBot="1">
      <c r="A37" s="59"/>
      <c r="B37" s="59"/>
      <c r="C37" s="72"/>
      <c r="D37" s="72"/>
      <c r="E37" s="72"/>
      <c r="F37" s="72"/>
      <c r="G37" s="72"/>
      <c r="H37" s="72"/>
      <c r="I37" s="72"/>
      <c r="J37" s="72"/>
      <c r="K37" s="72"/>
      <c r="L37" s="72"/>
      <c r="M37" s="72"/>
      <c r="N37" s="72"/>
      <c r="O37" s="72"/>
      <c r="P37" s="72"/>
      <c r="Q37" s="72"/>
      <c r="R37" s="72"/>
      <c r="T37" s="72"/>
      <c r="U37" s="72"/>
      <c r="V37" s="72"/>
      <c r="W37" s="72"/>
      <c r="X37" s="72"/>
      <c r="Y37" s="72"/>
      <c r="Z37" s="72"/>
      <c r="AA37" s="72"/>
      <c r="AB37" s="72"/>
      <c r="AC37" s="72"/>
    </row>
    <row r="38" spans="1:29" ht="18.75" customHeight="1">
      <c r="A38" s="59"/>
      <c r="B38" s="59"/>
      <c r="C38" s="72"/>
      <c r="D38" s="302"/>
      <c r="E38" s="303"/>
      <c r="F38" s="303"/>
      <c r="G38" s="303"/>
      <c r="H38" s="303"/>
      <c r="I38" s="303"/>
      <c r="J38" s="303"/>
      <c r="K38" s="303"/>
      <c r="L38" s="303"/>
      <c r="M38" s="303"/>
      <c r="N38" s="303"/>
      <c r="O38" s="303"/>
      <c r="P38" s="303"/>
      <c r="Q38" s="304"/>
      <c r="R38" s="72"/>
      <c r="T38" s="72"/>
      <c r="U38" s="72"/>
      <c r="V38" s="72"/>
      <c r="W38" s="72"/>
      <c r="X38" s="72"/>
      <c r="Y38" s="72"/>
      <c r="Z38" s="72"/>
      <c r="AA38" s="72"/>
      <c r="AB38" s="72"/>
      <c r="AC38" s="72"/>
    </row>
    <row r="39" spans="1:29" ht="18.75" customHeight="1">
      <c r="A39" s="59"/>
      <c r="B39" s="59"/>
      <c r="C39" s="72"/>
      <c r="D39" s="305"/>
      <c r="E39" s="306"/>
      <c r="F39" s="306"/>
      <c r="G39" s="306"/>
      <c r="H39" s="306"/>
      <c r="I39" s="306"/>
      <c r="J39" s="306"/>
      <c r="K39" s="306"/>
      <c r="L39" s="306"/>
      <c r="M39" s="306"/>
      <c r="N39" s="306"/>
      <c r="O39" s="306"/>
      <c r="P39" s="306"/>
      <c r="Q39" s="307"/>
      <c r="R39" s="72"/>
      <c r="T39" s="72"/>
      <c r="U39" s="72"/>
      <c r="V39" s="72"/>
      <c r="W39" s="72"/>
      <c r="X39" s="72"/>
      <c r="Y39" s="72"/>
      <c r="Z39" s="72"/>
      <c r="AA39" s="72"/>
      <c r="AB39" s="72"/>
      <c r="AC39" s="72"/>
    </row>
    <row r="40" spans="1:29" ht="18.75" customHeight="1">
      <c r="A40" s="59"/>
      <c r="B40" s="59"/>
      <c r="C40" s="72"/>
      <c r="D40" s="305"/>
      <c r="E40" s="306"/>
      <c r="F40" s="306"/>
      <c r="G40" s="306"/>
      <c r="H40" s="306"/>
      <c r="I40" s="306"/>
      <c r="J40" s="306"/>
      <c r="K40" s="306"/>
      <c r="L40" s="306"/>
      <c r="M40" s="306"/>
      <c r="N40" s="306"/>
      <c r="O40" s="306"/>
      <c r="P40" s="306"/>
      <c r="Q40" s="307"/>
      <c r="R40" s="72"/>
      <c r="T40" s="72"/>
      <c r="U40" s="72"/>
      <c r="V40" s="72"/>
      <c r="W40" s="72"/>
      <c r="X40" s="72"/>
      <c r="Y40" s="72"/>
      <c r="Z40" s="72"/>
      <c r="AA40" s="72"/>
      <c r="AB40" s="72"/>
      <c r="AC40" s="72"/>
    </row>
    <row r="41" spans="1:29" ht="18.75" customHeight="1">
      <c r="A41" s="59"/>
      <c r="B41" s="59"/>
      <c r="C41" s="72"/>
      <c r="D41" s="305"/>
      <c r="E41" s="306"/>
      <c r="F41" s="306"/>
      <c r="G41" s="306"/>
      <c r="H41" s="306"/>
      <c r="I41" s="306"/>
      <c r="J41" s="306"/>
      <c r="K41" s="306"/>
      <c r="L41" s="306"/>
      <c r="M41" s="306"/>
      <c r="N41" s="306"/>
      <c r="O41" s="306"/>
      <c r="P41" s="306"/>
      <c r="Q41" s="307"/>
      <c r="R41" s="72"/>
      <c r="T41" s="72"/>
      <c r="U41" s="72"/>
      <c r="V41" s="72"/>
      <c r="W41" s="72"/>
      <c r="X41" s="72"/>
      <c r="Y41" s="72"/>
      <c r="Z41" s="72"/>
      <c r="AA41" s="72"/>
      <c r="AB41" s="72"/>
      <c r="AC41" s="72"/>
    </row>
    <row r="42" spans="1:29" ht="18.75" customHeight="1">
      <c r="A42" s="59"/>
      <c r="B42" s="59"/>
      <c r="C42" s="72"/>
      <c r="D42" s="305"/>
      <c r="E42" s="306"/>
      <c r="F42" s="306"/>
      <c r="G42" s="306"/>
      <c r="H42" s="306"/>
      <c r="I42" s="306"/>
      <c r="J42" s="306"/>
      <c r="K42" s="306"/>
      <c r="L42" s="306"/>
      <c r="M42" s="306"/>
      <c r="N42" s="306"/>
      <c r="O42" s="306"/>
      <c r="P42" s="306"/>
      <c r="Q42" s="307"/>
      <c r="R42" s="72"/>
      <c r="T42" s="72"/>
      <c r="U42" s="72"/>
      <c r="V42" s="72"/>
      <c r="W42" s="72"/>
      <c r="X42" s="72"/>
      <c r="Y42" s="72"/>
      <c r="Z42" s="72"/>
      <c r="AA42" s="72"/>
      <c r="AB42" s="72"/>
      <c r="AC42" s="72"/>
    </row>
    <row r="43" spans="1:29" ht="18.75" customHeight="1">
      <c r="A43" s="59"/>
      <c r="B43" s="59"/>
      <c r="C43" s="72"/>
      <c r="D43" s="305"/>
      <c r="E43" s="306"/>
      <c r="F43" s="306"/>
      <c r="G43" s="306"/>
      <c r="H43" s="306"/>
      <c r="I43" s="306"/>
      <c r="J43" s="306"/>
      <c r="K43" s="306"/>
      <c r="L43" s="306"/>
      <c r="M43" s="306"/>
      <c r="N43" s="306"/>
      <c r="O43" s="306"/>
      <c r="P43" s="306"/>
      <c r="Q43" s="307"/>
      <c r="R43" s="72"/>
      <c r="T43" s="72"/>
      <c r="U43" s="72"/>
      <c r="V43" s="72"/>
      <c r="W43" s="72"/>
      <c r="X43" s="72"/>
      <c r="Y43" s="72"/>
      <c r="Z43" s="72"/>
      <c r="AA43" s="72"/>
      <c r="AB43" s="72"/>
      <c r="AC43" s="72"/>
    </row>
    <row r="44" spans="1:29" ht="11.25" customHeight="1" thickBot="1">
      <c r="A44" s="59"/>
      <c r="B44" s="59"/>
      <c r="C44" s="72"/>
      <c r="D44" s="305"/>
      <c r="E44" s="306"/>
      <c r="F44" s="306"/>
      <c r="G44" s="306"/>
      <c r="H44" s="306"/>
      <c r="I44" s="306"/>
      <c r="J44" s="306"/>
      <c r="K44" s="306"/>
      <c r="L44" s="306"/>
      <c r="M44" s="306"/>
      <c r="N44" s="306"/>
      <c r="O44" s="306"/>
      <c r="P44" s="306"/>
      <c r="Q44" s="307"/>
      <c r="R44" s="72"/>
    </row>
    <row r="45" spans="1:29" ht="11.25" customHeight="1" thickBot="1">
      <c r="A45" s="59"/>
      <c r="B45" s="59"/>
      <c r="C45" s="72"/>
      <c r="D45" s="308"/>
      <c r="E45" s="309"/>
      <c r="F45" s="309"/>
      <c r="G45" s="309"/>
      <c r="H45" s="309"/>
      <c r="I45" s="309"/>
      <c r="J45" s="309"/>
      <c r="K45" s="309"/>
      <c r="L45" s="309"/>
      <c r="M45" s="309"/>
      <c r="N45" s="309"/>
      <c r="O45" s="309"/>
      <c r="P45" s="309"/>
      <c r="Q45" s="310"/>
      <c r="R45" s="72"/>
      <c r="T45" s="317" t="s">
        <v>530</v>
      </c>
      <c r="U45" s="318"/>
      <c r="V45" s="319"/>
      <c r="W45" s="85"/>
      <c r="X45" s="85"/>
      <c r="Y45" s="316" t="s">
        <v>588</v>
      </c>
      <c r="Z45" s="316"/>
      <c r="AA45" s="316"/>
      <c r="AB45" s="316"/>
      <c r="AC45" s="316"/>
    </row>
    <row r="46" spans="1:29" ht="11.25" customHeight="1" thickBot="1">
      <c r="A46" s="59"/>
      <c r="B46" s="59"/>
      <c r="C46" s="72"/>
      <c r="D46" s="72"/>
      <c r="E46" s="72"/>
      <c r="F46" s="72"/>
      <c r="G46" s="72"/>
      <c r="H46" s="72"/>
      <c r="I46" s="72"/>
      <c r="J46" s="72"/>
      <c r="K46" s="72"/>
      <c r="L46" s="72"/>
      <c r="M46" s="72"/>
      <c r="N46" s="72"/>
      <c r="O46" s="72"/>
      <c r="P46" s="72"/>
      <c r="Q46" s="72"/>
      <c r="R46" s="72"/>
      <c r="T46" s="320"/>
      <c r="U46" s="321"/>
      <c r="V46" s="322"/>
      <c r="W46" s="85"/>
      <c r="X46" s="85"/>
      <c r="Y46" s="316"/>
      <c r="Z46" s="316"/>
      <c r="AA46" s="316"/>
      <c r="AB46" s="316"/>
      <c r="AC46" s="316"/>
    </row>
  </sheetData>
  <mergeCells count="49">
    <mergeCell ref="Y45:AC46"/>
    <mergeCell ref="T45:V46"/>
    <mergeCell ref="X30:Y30"/>
    <mergeCell ref="AB23:AB24"/>
    <mergeCell ref="AA23:AA24"/>
    <mergeCell ref="Z23:Z24"/>
    <mergeCell ref="V26:W26"/>
    <mergeCell ref="V32:W32"/>
    <mergeCell ref="V30:W30"/>
    <mergeCell ref="X31:Y31"/>
    <mergeCell ref="X25:Y25"/>
    <mergeCell ref="D38:Q45"/>
    <mergeCell ref="D6:N10"/>
    <mergeCell ref="E18:E19"/>
    <mergeCell ref="D5:AB5"/>
    <mergeCell ref="C3:AC3"/>
    <mergeCell ref="M19:M20"/>
    <mergeCell ref="N19:N20"/>
    <mergeCell ref="O19:O20"/>
    <mergeCell ref="P19:P20"/>
    <mergeCell ref="Q19:Q20"/>
    <mergeCell ref="X14:Y14"/>
    <mergeCell ref="X15:Y15"/>
    <mergeCell ref="Z8:Z9"/>
    <mergeCell ref="AA8:AA9"/>
    <mergeCell ref="AB8:AB9"/>
    <mergeCell ref="D36:Q36"/>
    <mergeCell ref="V10:W10"/>
    <mergeCell ref="V31:W31"/>
    <mergeCell ref="V16:W16"/>
    <mergeCell ref="V25:W25"/>
    <mergeCell ref="V17:W17"/>
    <mergeCell ref="V23:W24"/>
    <mergeCell ref="C2:AC2"/>
    <mergeCell ref="X10:Y10"/>
    <mergeCell ref="M22:N22"/>
    <mergeCell ref="D35:G35"/>
    <mergeCell ref="U35:Z35"/>
    <mergeCell ref="X23:Y24"/>
    <mergeCell ref="X21:Y21"/>
    <mergeCell ref="X22:Y22"/>
    <mergeCell ref="X28:Y28"/>
    <mergeCell ref="X29:Y29"/>
    <mergeCell ref="X6:Y6"/>
    <mergeCell ref="X7:Y7"/>
    <mergeCell ref="X8:Y9"/>
    <mergeCell ref="X16:Y16"/>
    <mergeCell ref="X17:Y17"/>
    <mergeCell ref="V8:W9"/>
  </mergeCells>
  <hyperlinks>
    <hyperlink ref="T45:V46" location="NavCell_P1" display="Previous page" xr:uid="{8138ACD3-1C9F-486E-9047-CFFD5110CE78}"/>
    <hyperlink ref="Y45:AC46" location="NavCell_P3" display="Next page " xr:uid="{22FFD5F0-88F8-4453-8CC9-46270794E5C4}"/>
  </hyperlinks>
  <pageMargins left="0.7" right="0.7" top="0.75" bottom="0.75" header="0.3" footer="0.3"/>
  <pageSetup orientation="portrait" verticalDpi="300" r:id="rId1"/>
  <drawing r:id="rId2"/>
  <extLst>
    <ext xmlns:x14="http://schemas.microsoft.com/office/spreadsheetml/2009/9/main" uri="{CCE6A557-97BC-4b89-ADB6-D9C93CAAB3DF}">
      <x14:dataValidations xmlns:xm="http://schemas.microsoft.com/office/excel/2006/main" count="5">
        <x14:dataValidation type="list" allowBlank="1" showInputMessage="1" showErrorMessage="1" xr:uid="{C3FCA5E6-C79F-4206-83E5-F5CC1E001C7B}">
          <x14:formula1>
            <xm:f>'Backend P1'!$L$2:$L$5</xm:f>
          </x14:formula1>
          <xm:sqref>V31</xm:sqref>
        </x14:dataValidation>
        <x14:dataValidation type="list" allowBlank="1" showInputMessage="1" showErrorMessage="1" xr:uid="{47686B05-8DF5-4FB7-BC8B-B9F2EDA27A7A}">
          <x14:formula1>
            <xm:f>'Backend P1'!$J$2:$J$5</xm:f>
          </x14:formula1>
          <xm:sqref>V25</xm:sqref>
        </x14:dataValidation>
        <x14:dataValidation type="list" allowBlank="1" showInputMessage="1" showErrorMessage="1" xr:uid="{365D8805-4DF9-4449-9ADF-6DCAAE05F60A}">
          <x14:formula1>
            <xm:f>'Backend P1'!$H$2:$H$5</xm:f>
          </x14:formula1>
          <xm:sqref>V17</xm:sqref>
        </x14:dataValidation>
        <x14:dataValidation type="list" allowBlank="1" showInputMessage="1" showErrorMessage="1" xr:uid="{B93AAFE2-9EA5-454D-A430-0E2119EF7453}">
          <x14:formula1>
            <xm:f>'Backend P1'!$D$2:$D$5</xm:f>
          </x14:formula1>
          <xm:sqref>E17</xm:sqref>
        </x14:dataValidation>
        <x14:dataValidation type="list" allowBlank="1" showInputMessage="1" showErrorMessage="1" xr:uid="{B11E9B6B-E751-4B9D-AE23-B983790A6FBD}">
          <x14:formula1>
            <xm:f>'Backend P1'!$F$2:$F$5</xm:f>
          </x14:formula1>
          <xm:sqref>M21</xm:sqref>
        </x14:dataValidation>
      </x14:dataValidations>
    </ext>
  </extLst>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E9EB4D-679B-46BB-AB5C-CBC5D18A2455}">
  <sheetPr codeName="Sheet12">
    <tabColor theme="8" tint="0.79998168889431442"/>
  </sheetPr>
  <dimension ref="A1:O28"/>
  <sheetViews>
    <sheetView showGridLines="0" workbookViewId="0"/>
  </sheetViews>
  <sheetFormatPr defaultColWidth="9" defaultRowHeight="16.5"/>
  <cols>
    <col min="1" max="1" width="0.25" style="1" customWidth="1"/>
    <col min="2" max="2" width="1.625" style="1" customWidth="1"/>
    <col min="3" max="3" width="1.875" style="1" customWidth="1"/>
    <col min="4" max="4" width="28.125" style="1" customWidth="1"/>
    <col min="5" max="6" width="13.125" style="1" customWidth="1"/>
    <col min="7" max="7" width="18.625" style="1" customWidth="1"/>
    <col min="8" max="8" width="20.625" style="1" customWidth="1"/>
    <col min="9" max="9" width="11.25" style="1" customWidth="1"/>
    <col min="10" max="10" width="9.375" style="1" customWidth="1"/>
    <col min="11" max="11" width="13.125" style="1" customWidth="1"/>
    <col min="12" max="12" width="3.75" style="1" customWidth="1"/>
    <col min="13" max="13" width="1.875" style="1" customWidth="1"/>
    <col min="14" max="14" width="20.625" style="1" customWidth="1"/>
    <col min="15" max="15" width="1.875" style="1" customWidth="1"/>
    <col min="16" max="16384" width="9" style="1"/>
  </cols>
  <sheetData>
    <row r="1" spans="1:15" ht="11.25" customHeight="1">
      <c r="A1" s="171" t="s">
        <v>589</v>
      </c>
    </row>
    <row r="2" spans="1:15" ht="32.1" customHeight="1">
      <c r="A2" s="171" t="s">
        <v>590</v>
      </c>
      <c r="C2" s="460" t="s">
        <v>589</v>
      </c>
      <c r="D2" s="460"/>
      <c r="E2" s="460"/>
      <c r="F2" s="460"/>
      <c r="G2" s="460"/>
      <c r="H2" s="460"/>
      <c r="I2" s="460"/>
      <c r="J2" s="460"/>
      <c r="K2" s="460"/>
      <c r="L2" s="460"/>
      <c r="M2" s="460"/>
      <c r="N2" s="460"/>
      <c r="O2" s="460"/>
    </row>
    <row r="3" spans="1:15" ht="18.75" customHeight="1">
      <c r="A3" s="171" t="s">
        <v>591</v>
      </c>
      <c r="C3" s="327" t="s">
        <v>590</v>
      </c>
      <c r="D3" s="327"/>
      <c r="E3" s="327"/>
      <c r="F3" s="327"/>
      <c r="G3" s="327"/>
      <c r="H3" s="327"/>
      <c r="I3" s="327"/>
      <c r="J3" s="327"/>
      <c r="K3" s="327"/>
      <c r="L3" s="327"/>
      <c r="M3" s="327"/>
      <c r="N3" s="327"/>
      <c r="O3" s="327"/>
    </row>
    <row r="4" spans="1:15" s="2" customFormat="1" ht="11.25" customHeight="1" thickBot="1">
      <c r="A4" s="161" t="s">
        <v>592</v>
      </c>
      <c r="C4" s="108"/>
      <c r="D4" s="108"/>
      <c r="E4" s="108"/>
      <c r="F4" s="108"/>
      <c r="G4" s="108"/>
      <c r="H4" s="108"/>
      <c r="I4" s="108"/>
      <c r="J4" s="108"/>
      <c r="K4" s="108"/>
      <c r="L4" s="108"/>
      <c r="M4" s="108"/>
      <c r="N4" s="108"/>
      <c r="O4" s="108"/>
    </row>
    <row r="5" spans="1:15" ht="30" customHeight="1">
      <c r="A5" s="171" t="s">
        <v>593</v>
      </c>
      <c r="C5" s="25"/>
      <c r="D5" s="214" t="s">
        <v>594</v>
      </c>
      <c r="E5" s="214"/>
      <c r="F5" s="214"/>
      <c r="G5" s="214"/>
      <c r="H5" s="214"/>
      <c r="I5" s="214"/>
      <c r="J5" s="214"/>
      <c r="K5" s="214"/>
      <c r="L5" s="214"/>
      <c r="M5" s="214"/>
      <c r="N5" s="82"/>
      <c r="O5" s="25"/>
    </row>
    <row r="6" spans="1:15" ht="18.75" customHeight="1">
      <c r="A6" s="170" t="s">
        <v>545</v>
      </c>
      <c r="C6" s="77"/>
      <c r="D6" s="215" t="s">
        <v>595</v>
      </c>
      <c r="E6" s="215"/>
      <c r="F6" s="215"/>
      <c r="G6" s="215"/>
      <c r="H6" s="215"/>
      <c r="I6" s="215"/>
      <c r="J6" s="215"/>
      <c r="K6" s="215"/>
      <c r="L6" s="215"/>
      <c r="M6" s="215"/>
      <c r="N6" s="144"/>
      <c r="O6" s="25"/>
    </row>
    <row r="7" spans="1:15" ht="31.5" customHeight="1">
      <c r="A7" s="171"/>
      <c r="C7" s="77"/>
      <c r="D7" s="215"/>
      <c r="E7" s="215"/>
      <c r="F7" s="215"/>
      <c r="G7" s="215"/>
      <c r="H7" s="215"/>
      <c r="I7" s="215"/>
      <c r="J7" s="215"/>
      <c r="K7" s="215"/>
      <c r="L7" s="215"/>
      <c r="M7" s="215"/>
      <c r="N7" s="144"/>
      <c r="O7" s="25"/>
    </row>
    <row r="8" spans="1:15" ht="18.75" customHeight="1" thickBot="1">
      <c r="A8" s="171"/>
      <c r="C8" s="77"/>
      <c r="D8" s="140" t="s">
        <v>521</v>
      </c>
      <c r="E8" s="72"/>
      <c r="F8" s="72"/>
      <c r="G8" s="72"/>
      <c r="H8" s="72"/>
      <c r="I8" s="72"/>
      <c r="J8" s="72"/>
      <c r="K8" s="72"/>
      <c r="L8" s="72"/>
      <c r="M8" s="72"/>
      <c r="N8" s="72"/>
      <c r="O8" s="25"/>
    </row>
    <row r="9" spans="1:15" ht="18.95" thickBot="1">
      <c r="C9" s="77"/>
      <c r="D9" s="88" t="e" vm="1">
        <v>#VALUE!</v>
      </c>
      <c r="E9" s="72"/>
      <c r="F9" s="72"/>
      <c r="G9" s="72"/>
      <c r="H9" s="72"/>
      <c r="I9" s="72"/>
      <c r="J9" s="72"/>
      <c r="K9" s="72"/>
      <c r="L9" s="72"/>
      <c r="M9" s="72"/>
      <c r="N9" s="72"/>
      <c r="O9" s="25"/>
    </row>
    <row r="10" spans="1:15" ht="11.25" customHeight="1">
      <c r="C10" s="77"/>
      <c r="D10" s="72"/>
      <c r="E10" s="72"/>
      <c r="F10" s="72"/>
      <c r="G10" s="72"/>
      <c r="H10" s="72"/>
      <c r="I10" s="72"/>
      <c r="J10" s="72"/>
      <c r="K10" s="72"/>
      <c r="L10" s="72"/>
      <c r="M10" s="72"/>
      <c r="N10" s="72"/>
      <c r="O10" s="25"/>
    </row>
    <row r="11" spans="1:15" ht="11.25" customHeight="1">
      <c r="C11" s="72"/>
      <c r="D11" s="72"/>
      <c r="E11" s="72"/>
      <c r="F11" s="72"/>
      <c r="G11" s="72"/>
      <c r="H11" s="72"/>
      <c r="I11" s="72"/>
      <c r="J11" s="72"/>
      <c r="K11" s="72"/>
      <c r="L11" s="72"/>
      <c r="M11" s="72"/>
      <c r="N11" s="72"/>
      <c r="O11" s="25"/>
    </row>
    <row r="12" spans="1:15" ht="18.600000000000001">
      <c r="C12" s="72"/>
      <c r="D12" s="216" t="s">
        <v>592</v>
      </c>
      <c r="E12" s="216"/>
      <c r="F12" s="216"/>
      <c r="G12" s="216"/>
      <c r="H12" s="216"/>
      <c r="I12" s="216"/>
      <c r="J12" s="216"/>
      <c r="K12" s="216"/>
      <c r="L12" s="216"/>
      <c r="M12" s="216"/>
      <c r="N12" s="145"/>
      <c r="O12" s="25"/>
    </row>
    <row r="13" spans="1:15" ht="18.600000000000001">
      <c r="C13" s="72"/>
      <c r="D13" s="216"/>
      <c r="E13" s="216"/>
      <c r="F13" s="216"/>
      <c r="G13" s="216"/>
      <c r="H13" s="216"/>
      <c r="I13" s="216"/>
      <c r="J13" s="216"/>
      <c r="K13" s="216"/>
      <c r="L13" s="216"/>
      <c r="M13" s="216"/>
      <c r="N13" s="145"/>
      <c r="O13" s="25"/>
    </row>
    <row r="14" spans="1:15" ht="18.95" thickBot="1">
      <c r="C14" s="72"/>
      <c r="D14" s="216"/>
      <c r="E14" s="216"/>
      <c r="F14" s="216"/>
      <c r="G14" s="216"/>
      <c r="H14" s="216"/>
      <c r="I14" s="216"/>
      <c r="J14" s="216"/>
      <c r="K14" s="216"/>
      <c r="L14" s="216"/>
      <c r="M14" s="216"/>
      <c r="N14" s="145"/>
      <c r="O14" s="25"/>
    </row>
    <row r="15" spans="1:15" ht="18.75" customHeight="1" thickBot="1">
      <c r="C15" s="72"/>
      <c r="D15" s="90" t="s">
        <v>596</v>
      </c>
      <c r="E15" s="155" t="s">
        <v>22</v>
      </c>
      <c r="F15" s="57" t="s">
        <v>23</v>
      </c>
      <c r="G15" s="57" t="s">
        <v>24</v>
      </c>
      <c r="H15" s="57" t="s">
        <v>25</v>
      </c>
      <c r="I15" s="330" t="s">
        <v>26</v>
      </c>
      <c r="J15" s="337"/>
      <c r="K15" s="330" t="s">
        <v>27</v>
      </c>
      <c r="L15" s="337"/>
      <c r="M15" s="330" t="s">
        <v>28</v>
      </c>
      <c r="N15" s="331"/>
      <c r="O15" s="25"/>
    </row>
    <row r="16" spans="1:15" ht="18.95" thickBot="1">
      <c r="C16" s="72"/>
      <c r="D16" s="210" t="e" vm="157">
        <v>#VALUE!</v>
      </c>
      <c r="E16" s="56" t="str">
        <f>_xlfn.XLOOKUP(E17,Tbl_Taxonomy[Common Name],Tbl_Taxonomy[scientific name],"")</f>
        <v>Animalia</v>
      </c>
      <c r="F16" s="58" t="str">
        <f>_xlfn.XLOOKUP(F17,Tbl_Taxonomy[Common Name],Tbl_Taxonomy[scientific name],"")</f>
        <v>Chordata</v>
      </c>
      <c r="G16" s="58" t="str">
        <f>_xlfn.XLOOKUP(G17,Tbl_Taxonomy[Common Name],Tbl_Taxonomy[scientific name],"")</f>
        <v>Mammalia</v>
      </c>
      <c r="H16" s="58" t="str">
        <f>_xlfn.XLOOKUP(H17,Tbl_Taxonomy[Common Name],Tbl_Taxonomy[scientific name],"")</f>
        <v>Cetacea</v>
      </c>
      <c r="I16" s="338" t="str">
        <f>_xlfn.XLOOKUP(I17,Tbl_Taxonomy[Common Name],Tbl_Taxonomy[scientific name],"")</f>
        <v>Delphinidae</v>
      </c>
      <c r="J16" s="339" t="str">
        <f>_xlfn.XLOOKUP(J17,Tbl_Taxonomy[Common Name],Tbl_Taxonomy[scientific name],"")</f>
        <v/>
      </c>
      <c r="K16" s="338" t="str">
        <f>_xlfn.XLOOKUP(K17,Tbl_Taxonomy[Common Name],Tbl_Taxonomy[scientific name],"")</f>
        <v>Orcinus</v>
      </c>
      <c r="L16" s="339" t="str">
        <f>_xlfn.XLOOKUP(L17,Tbl_Taxonomy[Common Name],Tbl_Taxonomy[scientific name],"")</f>
        <v/>
      </c>
      <c r="M16" s="332" t="str">
        <f>_xlfn.XLOOKUP(M17,Tbl_Taxonomy[Common Name],Tbl_Taxonomy[scientific name],"")</f>
        <v>Orcinus orca</v>
      </c>
      <c r="N16" s="262" t="str">
        <f>_xlfn.XLOOKUP(N17,Tbl_Taxonomy[Common Name],Tbl_Taxonomy[scientific name],"")</f>
        <v/>
      </c>
      <c r="O16" s="25"/>
    </row>
    <row r="17" spans="3:15" ht="37.5" customHeight="1">
      <c r="C17" s="72"/>
      <c r="D17" s="72"/>
      <c r="E17" s="206" t="str" cm="1">
        <f t="array" ref="E17">_FV(Sel_P3_1,"kingdom",TRUE)</f>
        <v>animals</v>
      </c>
      <c r="F17" s="207" t="str" cm="1">
        <f t="array" ref="F17">_FV(Sel_P3_1,"phylum",TRUE)</f>
        <v>chordates</v>
      </c>
      <c r="G17" s="207" t="str" cm="1">
        <f t="array" ref="G17">_FV(Sel_P3_1,"class",TRUE)</f>
        <v>mammals</v>
      </c>
      <c r="H17" s="207" t="str" cm="1">
        <f t="array" ref="H17">_FV(Sel_P3_1,"order",TRUE)</f>
        <v>whales, dolphins and porpoises</v>
      </c>
      <c r="I17" s="333" t="str" cm="1">
        <f t="array" ref="I17">_FV(Sel_P3_1,"family",TRUE)</f>
        <v>dolphins, killer whales and pilot whales</v>
      </c>
      <c r="J17" s="340"/>
      <c r="K17" s="333" t="str" cm="1">
        <f t="array" ref="K17">_FV(Sel_P3_1,"genus",TRUE)</f>
        <v>orca</v>
      </c>
      <c r="L17" s="340"/>
      <c r="M17" s="333" t="str" cm="1">
        <f t="array" ref="M17">_FV(Sel_P3_1,"species",TRUE)</f>
        <v>killer whale</v>
      </c>
      <c r="N17" s="334"/>
      <c r="O17" s="25"/>
    </row>
    <row r="18" spans="3:15" ht="11.25" customHeight="1">
      <c r="C18" s="72"/>
      <c r="D18" s="72"/>
      <c r="E18" s="72"/>
      <c r="F18" s="72"/>
      <c r="G18" s="72"/>
      <c r="H18" s="72"/>
      <c r="I18" s="72"/>
      <c r="J18" s="72"/>
      <c r="K18" s="72"/>
      <c r="L18" s="72"/>
      <c r="M18" s="72"/>
      <c r="N18" s="72"/>
      <c r="O18" s="25"/>
    </row>
    <row r="19" spans="3:15" ht="18.75" customHeight="1">
      <c r="C19" s="72"/>
      <c r="D19" s="328" t="s">
        <v>597</v>
      </c>
      <c r="E19" s="329"/>
      <c r="F19" s="335"/>
      <c r="G19" s="335"/>
      <c r="H19" s="335"/>
      <c r="I19" s="335"/>
      <c r="J19" s="335"/>
      <c r="K19" s="335"/>
      <c r="L19" s="335"/>
      <c r="M19" s="335"/>
      <c r="N19" s="335"/>
      <c r="O19" s="25"/>
    </row>
    <row r="20" spans="3:15" ht="75" customHeight="1">
      <c r="C20" s="72"/>
      <c r="D20" s="326" t="str" cm="1">
        <f t="array" ref="D20">_FV(Sel_P3_1,"wikipedia summary text",TRUE)</f>
        <v>The killer whale (Orcinus orca), also known as the orca, is a toothed whale belonging to the oceanic dolphin family, of which it is the largest member.</v>
      </c>
      <c r="E20" s="326"/>
      <c r="F20" s="335"/>
      <c r="G20" s="335"/>
      <c r="H20" s="335"/>
      <c r="I20" s="335"/>
      <c r="J20" s="335"/>
      <c r="K20" s="335"/>
      <c r="L20" s="335"/>
      <c r="M20" s="335"/>
      <c r="N20" s="335"/>
      <c r="O20" s="25"/>
    </row>
    <row r="21" spans="3:15" ht="75" customHeight="1">
      <c r="C21" s="72"/>
      <c r="D21" s="326"/>
      <c r="E21" s="326"/>
      <c r="F21" s="335"/>
      <c r="G21" s="335"/>
      <c r="H21" s="335"/>
      <c r="I21" s="335"/>
      <c r="J21" s="335"/>
      <c r="K21" s="335"/>
      <c r="L21" s="335"/>
      <c r="M21" s="335"/>
      <c r="N21" s="335"/>
      <c r="O21" s="25"/>
    </row>
    <row r="22" spans="3:15" ht="10.5" customHeight="1">
      <c r="C22" s="72"/>
      <c r="D22" s="72"/>
      <c r="E22" s="72"/>
      <c r="F22" s="335"/>
      <c r="G22" s="335"/>
      <c r="H22" s="335"/>
      <c r="I22" s="335"/>
      <c r="J22" s="335"/>
      <c r="K22" s="335"/>
      <c r="L22" s="335"/>
      <c r="M22" s="335"/>
      <c r="N22" s="335"/>
      <c r="O22" s="25"/>
    </row>
    <row r="23" spans="3:15" ht="187.5" customHeight="1">
      <c r="C23" s="72"/>
      <c r="D23" s="461"/>
      <c r="E23" s="461"/>
      <c r="F23" s="335"/>
      <c r="G23" s="335"/>
      <c r="H23" s="335"/>
      <c r="I23" s="335"/>
      <c r="J23" s="335"/>
      <c r="K23" s="335"/>
      <c r="L23" s="335"/>
      <c r="M23" s="335"/>
      <c r="N23" s="335"/>
      <c r="O23" s="25"/>
    </row>
    <row r="24" spans="3:15" ht="37.5" customHeight="1">
      <c r="C24" s="72"/>
      <c r="D24" s="72"/>
      <c r="E24" s="72"/>
      <c r="F24" s="335"/>
      <c r="G24" s="335"/>
      <c r="H24" s="335"/>
      <c r="I24" s="335"/>
      <c r="J24" s="335"/>
      <c r="K24" s="335"/>
      <c r="L24" s="335"/>
      <c r="M24" s="335"/>
      <c r="N24" s="335"/>
      <c r="O24" s="25"/>
    </row>
    <row r="25" spans="3:15" ht="11.25" customHeight="1">
      <c r="C25" s="72"/>
      <c r="D25" s="72"/>
      <c r="E25" s="72"/>
      <c r="F25" s="72"/>
      <c r="G25" s="72"/>
      <c r="H25" s="72"/>
      <c r="I25" s="72"/>
      <c r="J25" s="72"/>
      <c r="K25" s="72"/>
      <c r="L25" s="72"/>
      <c r="M25" s="25"/>
      <c r="N25" s="25"/>
      <c r="O25" s="25"/>
    </row>
    <row r="26" spans="3:15" ht="11.25" customHeight="1" thickBot="1"/>
    <row r="27" spans="3:15" ht="11.25" customHeight="1">
      <c r="I27" s="85"/>
      <c r="J27" s="341" t="s">
        <v>530</v>
      </c>
      <c r="K27" s="342"/>
      <c r="L27" s="85"/>
      <c r="M27" s="85"/>
      <c r="N27" s="336" t="s">
        <v>488</v>
      </c>
      <c r="O27" s="336"/>
    </row>
    <row r="28" spans="3:15" ht="11.25" customHeight="1" thickBot="1">
      <c r="I28" s="85"/>
      <c r="J28" s="343"/>
      <c r="K28" s="344"/>
      <c r="L28" s="85"/>
      <c r="M28" s="85"/>
      <c r="N28" s="336"/>
      <c r="O28" s="336"/>
    </row>
  </sheetData>
  <protectedRanges>
    <protectedRange sqref="D9 D16" name="Range1"/>
  </protectedRanges>
  <mergeCells count="20">
    <mergeCell ref="N27:O28"/>
    <mergeCell ref="K15:L15"/>
    <mergeCell ref="K16:L16"/>
    <mergeCell ref="K17:L17"/>
    <mergeCell ref="I15:J15"/>
    <mergeCell ref="I16:J16"/>
    <mergeCell ref="I17:J17"/>
    <mergeCell ref="J27:K28"/>
    <mergeCell ref="C2:O2"/>
    <mergeCell ref="D23:E23"/>
    <mergeCell ref="D20:E21"/>
    <mergeCell ref="C3:O3"/>
    <mergeCell ref="D12:M14"/>
    <mergeCell ref="D5:M5"/>
    <mergeCell ref="D6:M7"/>
    <mergeCell ref="D19:E19"/>
    <mergeCell ref="M15:N15"/>
    <mergeCell ref="M16:N16"/>
    <mergeCell ref="M17:N17"/>
    <mergeCell ref="F19:N24"/>
  </mergeCells>
  <hyperlinks>
    <hyperlink ref="J27:K28" location="NavCell_P2" display="ddatawett " xr:uid="{B3BF0E1F-A1F2-4940-BC41-85FBB5D06FF0}"/>
    <hyperlink ref="N27:O28" location="NavCell_P4" display="awetawte" xr:uid="{B9000A0F-5BB4-44F5-A283-5C9D88312C16}"/>
  </hyperlinks>
  <pageMargins left="0.7" right="0.7" top="0.75" bottom="0.75" header="0.3" footer="0.3"/>
  <pageSetup orientation="portrait" verticalDpi="300" r:id="rId1"/>
  <drawing r:id="rId2"/>
  <extLst>
    <ext xmlns:x14="http://schemas.microsoft.com/office/spreadsheetml/2009/9/main" uri="{CCE6A557-97BC-4b89-ADB6-D9C93CAAB3DF}">
      <x14:dataValidations xmlns:xm="http://schemas.microsoft.com/office/excel/2006/main" count="1">
        <x14:dataValidation type="list" allowBlank="1" showInputMessage="1" showErrorMessage="1" xr:uid="{E37DB08B-40C6-4FE7-8D47-BDF83D438F20}">
          <x14:formula1>
            <xm:f>Backend_P2!$P$4:$P$14</xm:f>
          </x14:formula1>
          <xm:sqref>D16</xm:sqref>
        </x14:dataValidation>
      </x14:dataValidations>
    </ext>
  </extLst>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372D3F-FD7D-4729-9DD2-2B9D6ADB7C0B}">
  <sheetPr codeName="Sheet9">
    <tabColor theme="8" tint="0.79998168889431442"/>
  </sheetPr>
  <dimension ref="A1:AF83"/>
  <sheetViews>
    <sheetView showGridLines="0" zoomScaleNormal="100" workbookViewId="0"/>
  </sheetViews>
  <sheetFormatPr defaultColWidth="9" defaultRowHeight="18.75" customHeight="1"/>
  <cols>
    <col min="1" max="1" width="0.25" style="2" customWidth="1"/>
    <col min="2" max="2" width="1.625" style="2" customWidth="1"/>
    <col min="3" max="3" width="1.875" style="2" customWidth="1"/>
    <col min="4" max="4" width="2.125" style="2" customWidth="1"/>
    <col min="5" max="5" width="26.875" style="2" customWidth="1"/>
    <col min="6" max="6" width="1.875" style="2" customWidth="1"/>
    <col min="7" max="7" width="16.875" style="2" customWidth="1"/>
    <col min="8" max="8" width="1.25" style="2" customWidth="1"/>
    <col min="9" max="9" width="16.875" style="2" customWidth="1"/>
    <col min="10" max="10" width="1.25" style="2" customWidth="1"/>
    <col min="11" max="13" width="5.625" style="2" customWidth="1"/>
    <col min="14" max="14" width="1.25" style="2" customWidth="1"/>
    <col min="15" max="17" width="5.625" style="2" customWidth="1"/>
    <col min="18" max="18" width="1.25" style="2" customWidth="1"/>
    <col min="19" max="19" width="2.5" style="2" customWidth="1"/>
    <col min="20" max="21" width="1.875" style="2" customWidth="1"/>
    <col min="22" max="22" width="11" style="2" customWidth="1"/>
    <col min="23" max="23" width="1.25" style="2" customWidth="1"/>
    <col min="24" max="24" width="10.25" style="2" customWidth="1"/>
    <col min="25" max="25" width="5.625" style="2" customWidth="1"/>
    <col min="26" max="26" width="1.875" style="2" customWidth="1"/>
    <col min="27" max="27" width="1.125" style="2" customWidth="1"/>
    <col min="28" max="28" width="12.375" style="2" customWidth="1"/>
    <col min="29" max="30" width="3.75" style="2" customWidth="1"/>
    <col min="31" max="16384" width="9" style="2"/>
  </cols>
  <sheetData>
    <row r="1" spans="1:32" ht="3.75" customHeight="1">
      <c r="A1" s="161" t="s">
        <v>598</v>
      </c>
      <c r="B1" s="2" t="s">
        <v>599</v>
      </c>
    </row>
    <row r="2" spans="1:32" ht="3.75" customHeight="1">
      <c r="A2" s="161" t="s">
        <v>600</v>
      </c>
      <c r="B2" s="2" t="s">
        <v>599</v>
      </c>
    </row>
    <row r="3" spans="1:32" ht="3.75" customHeight="1">
      <c r="A3" s="161" t="s">
        <v>601</v>
      </c>
      <c r="B3" s="2" t="s">
        <v>599</v>
      </c>
    </row>
    <row r="4" spans="1:32" ht="30" customHeight="1">
      <c r="A4" s="161" t="s">
        <v>602</v>
      </c>
      <c r="B4" s="2" t="s">
        <v>599</v>
      </c>
      <c r="C4" s="460" t="s">
        <v>598</v>
      </c>
      <c r="D4" s="460"/>
      <c r="E4" s="460"/>
      <c r="F4" s="460"/>
      <c r="G4" s="460"/>
      <c r="H4" s="460"/>
      <c r="I4" s="460"/>
      <c r="J4" s="460"/>
      <c r="K4" s="460"/>
      <c r="L4" s="460"/>
      <c r="M4" s="460"/>
      <c r="N4" s="460"/>
      <c r="O4" s="460"/>
      <c r="P4" s="460"/>
      <c r="Q4" s="460"/>
      <c r="R4" s="460"/>
      <c r="S4" s="460"/>
      <c r="T4" s="460"/>
      <c r="U4" s="460"/>
      <c r="V4" s="460"/>
      <c r="W4" s="460"/>
      <c r="X4" s="460"/>
      <c r="Y4" s="83"/>
      <c r="Z4" s="83"/>
      <c r="AA4" s="22"/>
      <c r="AC4" s="22"/>
      <c r="AD4" s="22"/>
    </row>
    <row r="5" spans="1:32" ht="18.75" customHeight="1">
      <c r="A5" s="161" t="s">
        <v>603</v>
      </c>
      <c r="C5" s="273" t="s">
        <v>601</v>
      </c>
      <c r="D5" s="273"/>
      <c r="E5" s="273"/>
      <c r="F5" s="273"/>
      <c r="G5" s="273"/>
      <c r="H5" s="273"/>
      <c r="I5" s="273"/>
      <c r="J5" s="273"/>
      <c r="K5" s="273"/>
      <c r="L5" s="273"/>
      <c r="M5" s="273"/>
      <c r="N5" s="273"/>
      <c r="O5" s="273"/>
      <c r="P5" s="273"/>
      <c r="Q5" s="273"/>
      <c r="R5" s="273"/>
      <c r="S5" s="273"/>
      <c r="T5" s="273"/>
      <c r="U5" s="273"/>
      <c r="V5" s="273"/>
      <c r="W5" s="273"/>
      <c r="X5" s="273"/>
      <c r="Y5" s="273"/>
      <c r="Z5" s="273"/>
      <c r="AA5" s="273"/>
      <c r="AB5" s="273"/>
      <c r="AC5" s="273"/>
      <c r="AD5" s="273"/>
    </row>
    <row r="6" spans="1:32" ht="11.25" customHeight="1" thickBot="1">
      <c r="A6" s="161" t="s">
        <v>604</v>
      </c>
      <c r="B6" s="79"/>
      <c r="C6" s="127"/>
      <c r="D6" s="127"/>
      <c r="E6" s="127"/>
      <c r="F6" s="127"/>
      <c r="G6" s="127"/>
      <c r="H6" s="127"/>
      <c r="I6" s="127"/>
      <c r="J6" s="127"/>
      <c r="K6" s="127"/>
      <c r="L6" s="127"/>
      <c r="M6" s="127"/>
      <c r="N6" s="127"/>
      <c r="O6" s="127"/>
      <c r="P6" s="127"/>
      <c r="Q6" s="127"/>
      <c r="R6" s="127"/>
      <c r="S6" s="127"/>
      <c r="T6" s="127"/>
      <c r="U6" s="127"/>
      <c r="V6" s="127"/>
      <c r="W6" s="127"/>
      <c r="X6" s="127"/>
      <c r="Y6" s="127"/>
      <c r="Z6" s="127"/>
      <c r="AA6" s="127"/>
      <c r="AB6" s="127"/>
      <c r="AC6" s="127"/>
      <c r="AD6" s="127"/>
    </row>
    <row r="7" spans="1:32" ht="30" customHeight="1">
      <c r="A7" s="161" t="s">
        <v>605</v>
      </c>
      <c r="C7" s="25"/>
      <c r="D7" s="214" t="s">
        <v>606</v>
      </c>
      <c r="E7" s="214"/>
      <c r="F7" s="214"/>
      <c r="G7" s="214"/>
      <c r="H7" s="214"/>
      <c r="I7" s="214"/>
      <c r="J7" s="214"/>
      <c r="K7" s="214"/>
      <c r="L7" s="214"/>
      <c r="M7" s="214"/>
      <c r="N7" s="214"/>
      <c r="O7" s="214"/>
      <c r="P7" s="214"/>
      <c r="Q7" s="214"/>
      <c r="R7" s="214"/>
      <c r="S7" s="214"/>
      <c r="T7" s="214"/>
      <c r="U7" s="214"/>
      <c r="V7" s="214"/>
      <c r="W7" s="214"/>
      <c r="X7" s="214"/>
      <c r="Y7" s="214"/>
      <c r="Z7" s="214"/>
      <c r="AA7" s="214"/>
      <c r="AB7" s="214"/>
      <c r="AC7" s="25"/>
      <c r="AD7" s="25"/>
    </row>
    <row r="8" spans="1:32" ht="18.75" customHeight="1">
      <c r="A8" s="161" t="s">
        <v>607</v>
      </c>
      <c r="C8" s="72"/>
      <c r="D8" s="315" t="s">
        <v>608</v>
      </c>
      <c r="E8" s="315"/>
      <c r="F8" s="315"/>
      <c r="G8" s="315"/>
      <c r="H8" s="315"/>
      <c r="I8" s="315"/>
      <c r="J8" s="315"/>
      <c r="K8" s="315"/>
      <c r="L8" s="315"/>
      <c r="M8" s="315"/>
      <c r="N8" s="315"/>
      <c r="O8" s="315"/>
      <c r="P8" s="315"/>
      <c r="Q8" s="315"/>
      <c r="R8" s="315"/>
      <c r="S8" s="315"/>
      <c r="T8" s="315"/>
      <c r="U8" s="315"/>
      <c r="V8" s="315"/>
      <c r="W8" s="315"/>
      <c r="X8" s="315"/>
      <c r="Y8" s="315"/>
      <c r="Z8" s="315"/>
      <c r="AA8" s="315"/>
      <c r="AB8" s="315"/>
      <c r="AC8" s="72"/>
      <c r="AD8" s="72"/>
    </row>
    <row r="9" spans="1:32" ht="11.25" customHeight="1">
      <c r="A9" s="161" t="s">
        <v>609</v>
      </c>
      <c r="C9" s="72"/>
      <c r="D9" s="72"/>
      <c r="E9" s="72"/>
      <c r="F9" s="72"/>
      <c r="G9" s="72"/>
      <c r="H9" s="72"/>
      <c r="I9" s="72"/>
      <c r="J9" s="72"/>
      <c r="K9" s="72"/>
      <c r="L9" s="72"/>
      <c r="M9" s="72"/>
      <c r="N9" s="72"/>
      <c r="O9" s="72"/>
      <c r="P9" s="72"/>
      <c r="Q9" s="72"/>
      <c r="R9" s="72"/>
      <c r="S9" s="72"/>
      <c r="T9" s="72"/>
      <c r="U9" s="72"/>
      <c r="V9" s="72"/>
      <c r="W9" s="72"/>
      <c r="X9" s="72"/>
      <c r="Y9" s="72"/>
      <c r="Z9" s="72"/>
      <c r="AA9" s="72"/>
      <c r="AB9" s="72"/>
      <c r="AC9" s="72"/>
      <c r="AD9" s="72"/>
    </row>
    <row r="10" spans="1:32" s="23" customFormat="1" ht="18.75" customHeight="1">
      <c r="A10" s="161" t="s">
        <v>610</v>
      </c>
      <c r="C10" s="26"/>
      <c r="D10" s="26"/>
      <c r="E10" s="26"/>
      <c r="F10" s="26"/>
      <c r="G10" s="351" t="e" vm="157">
        <v>#VALUE!</v>
      </c>
      <c r="H10" s="114"/>
      <c r="I10" s="345" t="e" vm="159">
        <v>#VALUE!</v>
      </c>
      <c r="J10" s="114"/>
      <c r="K10" s="345" t="e" vm="160">
        <v>#VALUE!</v>
      </c>
      <c r="L10" s="345"/>
      <c r="M10" s="345"/>
      <c r="N10" s="114"/>
      <c r="O10" s="351" t="e" vm="161">
        <v>#VALUE!</v>
      </c>
      <c r="P10" s="351"/>
      <c r="Q10" s="351"/>
      <c r="R10" s="114"/>
      <c r="S10" s="345" t="e" vm="162">
        <v>#VALUE!</v>
      </c>
      <c r="T10" s="345"/>
      <c r="U10" s="345"/>
      <c r="V10" s="345"/>
      <c r="W10" s="114"/>
      <c r="X10" s="345" t="e" vm="163">
        <v>#VALUE!</v>
      </c>
      <c r="Y10" s="345"/>
      <c r="Z10" s="345"/>
      <c r="AA10" s="114"/>
      <c r="AB10" s="345" t="e" vm="168">
        <v>#VALUE!</v>
      </c>
      <c r="AC10" s="345"/>
      <c r="AD10" s="26"/>
      <c r="AE10" s="2"/>
      <c r="AF10" s="2"/>
    </row>
    <row r="11" spans="1:32" s="23" customFormat="1" ht="26.25" customHeight="1">
      <c r="A11" s="161" t="s">
        <v>611</v>
      </c>
      <c r="C11" s="26"/>
      <c r="D11" s="26"/>
      <c r="E11" s="26"/>
      <c r="F11" s="26"/>
      <c r="G11" s="351"/>
      <c r="H11" s="114"/>
      <c r="I11" s="345"/>
      <c r="J11" s="114"/>
      <c r="K11" s="345"/>
      <c r="L11" s="345"/>
      <c r="M11" s="345"/>
      <c r="N11" s="114"/>
      <c r="O11" s="351"/>
      <c r="P11" s="351"/>
      <c r="Q11" s="351"/>
      <c r="R11" s="114"/>
      <c r="S11" s="345"/>
      <c r="T11" s="345"/>
      <c r="U11" s="345"/>
      <c r="V11" s="345"/>
      <c r="W11" s="114"/>
      <c r="X11" s="345"/>
      <c r="Y11" s="345"/>
      <c r="Z11" s="345"/>
      <c r="AA11" s="114"/>
      <c r="AB11" s="345"/>
      <c r="AC11" s="345"/>
      <c r="AD11" s="26"/>
      <c r="AE11" s="2"/>
      <c r="AF11" s="2"/>
    </row>
    <row r="12" spans="1:32" ht="7.5" customHeight="1">
      <c r="A12" s="161" t="s">
        <v>612</v>
      </c>
      <c r="C12" s="27"/>
      <c r="D12" s="27"/>
      <c r="E12" s="27"/>
      <c r="F12" s="27"/>
      <c r="G12" s="157"/>
      <c r="H12" s="27"/>
      <c r="I12" s="157"/>
      <c r="J12" s="27"/>
      <c r="K12" s="157"/>
      <c r="L12" s="157"/>
      <c r="M12" s="157"/>
      <c r="N12" s="27"/>
      <c r="O12" s="157"/>
      <c r="P12" s="157"/>
      <c r="Q12" s="157"/>
      <c r="R12" s="27"/>
      <c r="S12" s="352"/>
      <c r="T12" s="352"/>
      <c r="U12" s="352"/>
      <c r="V12" s="157"/>
      <c r="W12" s="27"/>
      <c r="X12" s="157"/>
      <c r="Y12" s="157"/>
      <c r="Z12" s="157"/>
      <c r="AA12" s="27"/>
      <c r="AB12" s="157"/>
      <c r="AC12" s="27"/>
      <c r="AD12" s="27"/>
    </row>
    <row r="13" spans="1:32" ht="18.75" customHeight="1">
      <c r="A13" s="172" t="s">
        <v>613</v>
      </c>
      <c r="C13" s="27"/>
      <c r="D13" s="193" t="s">
        <v>614</v>
      </c>
      <c r="E13" s="193"/>
      <c r="F13" s="27"/>
      <c r="G13" s="367"/>
      <c r="H13" s="367"/>
      <c r="I13" s="367"/>
      <c r="J13" s="367"/>
      <c r="K13" s="367"/>
      <c r="L13" s="367"/>
      <c r="M13" s="367"/>
      <c r="N13" s="367"/>
      <c r="O13" s="367"/>
      <c r="P13" s="367"/>
      <c r="Q13" s="367"/>
      <c r="R13" s="367"/>
      <c r="S13" s="367"/>
      <c r="T13" s="367"/>
      <c r="U13" s="367"/>
      <c r="V13" s="367"/>
      <c r="W13" s="367"/>
      <c r="X13" s="367"/>
      <c r="Y13" s="367"/>
      <c r="Z13" s="367"/>
      <c r="AA13" s="367"/>
      <c r="AB13" s="367"/>
      <c r="AC13" s="367"/>
      <c r="AD13" s="367"/>
    </row>
    <row r="14" spans="1:32" ht="15" customHeight="1">
      <c r="A14" s="170" t="s">
        <v>545</v>
      </c>
      <c r="C14" s="27"/>
      <c r="D14" s="194" t="e" vm="14">
        <v>#VALUE!</v>
      </c>
      <c r="E14" s="194" t="str" cm="1">
        <f t="array" ref="E14">_FV(D14,"scientific name",TRUE)</f>
        <v>Eukaryota</v>
      </c>
      <c r="F14" s="27"/>
      <c r="G14" s="367"/>
      <c r="H14" s="367"/>
      <c r="I14" s="367"/>
      <c r="J14" s="367"/>
      <c r="K14" s="367"/>
      <c r="L14" s="367"/>
      <c r="M14" s="367"/>
      <c r="N14" s="367"/>
      <c r="O14" s="367"/>
      <c r="P14" s="367"/>
      <c r="Q14" s="367"/>
      <c r="R14" s="367"/>
      <c r="S14" s="367"/>
      <c r="T14" s="367"/>
      <c r="U14" s="367"/>
      <c r="V14" s="367"/>
      <c r="W14" s="367"/>
      <c r="X14" s="367"/>
      <c r="Y14" s="367"/>
      <c r="Z14" s="367"/>
      <c r="AA14" s="367"/>
      <c r="AB14" s="367"/>
      <c r="AC14" s="367"/>
      <c r="AD14" s="367"/>
    </row>
    <row r="15" spans="1:32" ht="15" customHeight="1">
      <c r="A15" s="161"/>
      <c r="C15" s="27"/>
      <c r="D15" s="380" t="str" cm="1">
        <f t="array" ref="D15">_FV(D14,"wikipedia summary text",TRUE)</f>
        <v>Eukaryotes are organisms whose cells have a nucleus enclosed within a nuclear envelope. The domain Eukarya makes up one of the three domains of life.</v>
      </c>
      <c r="E15" s="380"/>
      <c r="F15" s="27"/>
      <c r="G15" s="367"/>
      <c r="H15" s="367"/>
      <c r="I15" s="367"/>
      <c r="J15" s="367"/>
      <c r="K15" s="367"/>
      <c r="L15" s="367"/>
      <c r="M15" s="367"/>
      <c r="N15" s="367"/>
      <c r="O15" s="367"/>
      <c r="P15" s="367"/>
      <c r="Q15" s="367"/>
      <c r="R15" s="367"/>
      <c r="S15" s="367"/>
      <c r="T15" s="367"/>
      <c r="U15" s="367"/>
      <c r="V15" s="367"/>
      <c r="W15" s="367"/>
      <c r="X15" s="367"/>
      <c r="Y15" s="367"/>
      <c r="Z15" s="367"/>
      <c r="AA15" s="367"/>
      <c r="AB15" s="367"/>
      <c r="AC15" s="367"/>
      <c r="AD15" s="367"/>
    </row>
    <row r="16" spans="1:32" ht="22.5" customHeight="1">
      <c r="A16" s="161"/>
      <c r="C16" s="27"/>
      <c r="D16" s="380"/>
      <c r="E16" s="380"/>
      <c r="F16" s="27"/>
      <c r="G16" s="367"/>
      <c r="H16" s="367"/>
      <c r="I16" s="367"/>
      <c r="J16" s="367"/>
      <c r="K16" s="367"/>
      <c r="L16" s="367"/>
      <c r="M16" s="367"/>
      <c r="N16" s="367"/>
      <c r="O16" s="367"/>
      <c r="P16" s="367"/>
      <c r="Q16" s="367"/>
      <c r="R16" s="367"/>
      <c r="S16" s="367"/>
      <c r="T16" s="367"/>
      <c r="U16" s="367"/>
      <c r="V16" s="367"/>
      <c r="W16" s="367"/>
      <c r="X16" s="367"/>
      <c r="Y16" s="367"/>
      <c r="Z16" s="367"/>
      <c r="AA16" s="367"/>
      <c r="AB16" s="367"/>
      <c r="AC16" s="367"/>
      <c r="AD16" s="367"/>
    </row>
    <row r="17" spans="1:30" ht="7.5" customHeight="1">
      <c r="A17" s="161"/>
      <c r="C17" s="27"/>
      <c r="D17" s="27"/>
      <c r="E17" s="27"/>
      <c r="F17" s="27"/>
      <c r="G17" s="27"/>
      <c r="H17" s="27"/>
      <c r="I17" s="27"/>
      <c r="J17" s="27"/>
      <c r="K17" s="27"/>
      <c r="L17" s="27"/>
      <c r="M17" s="27"/>
      <c r="N17" s="27"/>
      <c r="O17" s="27"/>
      <c r="P17" s="27"/>
      <c r="Q17" s="27"/>
      <c r="R17" s="27"/>
      <c r="S17" s="462"/>
      <c r="T17" s="462"/>
      <c r="U17" s="462"/>
      <c r="V17" s="27"/>
      <c r="W17" s="27"/>
      <c r="X17" s="27"/>
      <c r="Y17" s="27"/>
      <c r="Z17" s="27"/>
      <c r="AA17" s="27"/>
      <c r="AB17" s="27"/>
      <c r="AC17" s="27"/>
      <c r="AD17" s="27"/>
    </row>
    <row r="18" spans="1:30" ht="7.5" customHeight="1">
      <c r="A18" s="161"/>
      <c r="C18" s="28"/>
      <c r="D18" s="28"/>
      <c r="E18" s="28"/>
      <c r="F18" s="28"/>
      <c r="G18" s="28"/>
      <c r="H18" s="28"/>
      <c r="I18" s="28"/>
      <c r="J18" s="28"/>
      <c r="K18" s="28"/>
      <c r="L18" s="28"/>
      <c r="M18" s="28"/>
      <c r="N18" s="28"/>
      <c r="O18" s="28"/>
      <c r="P18" s="28"/>
      <c r="Q18" s="28"/>
      <c r="R18" s="28"/>
      <c r="S18" s="463"/>
      <c r="T18" s="463"/>
      <c r="U18" s="463"/>
      <c r="V18" s="28"/>
      <c r="W18" s="28"/>
      <c r="X18" s="28"/>
      <c r="Y18" s="28"/>
      <c r="Z18" s="28"/>
      <c r="AA18" s="28"/>
      <c r="AB18" s="28"/>
      <c r="AC18" s="28"/>
      <c r="AD18" s="28"/>
    </row>
    <row r="19" spans="1:30" ht="18.600000000000001">
      <c r="A19" s="161"/>
      <c r="C19" s="28"/>
      <c r="D19" s="199" t="s">
        <v>22</v>
      </c>
      <c r="E19" s="199"/>
      <c r="F19" s="28"/>
      <c r="G19" s="368"/>
      <c r="H19" s="368"/>
      <c r="I19" s="368"/>
      <c r="J19" s="368"/>
      <c r="K19" s="368"/>
      <c r="L19" s="368"/>
      <c r="M19" s="368"/>
      <c r="N19" s="368"/>
      <c r="O19" s="368"/>
      <c r="P19" s="368"/>
      <c r="Q19" s="368"/>
      <c r="R19" s="368"/>
      <c r="S19" s="368"/>
      <c r="T19" s="368"/>
      <c r="U19" s="368"/>
      <c r="V19" s="368"/>
      <c r="W19" s="368"/>
      <c r="X19" s="368"/>
      <c r="Y19" s="368"/>
      <c r="Z19" s="368"/>
      <c r="AA19" s="368"/>
      <c r="AB19" s="382" t="s">
        <v>615</v>
      </c>
      <c r="AC19" s="382"/>
      <c r="AD19" s="28"/>
    </row>
    <row r="20" spans="1:30" ht="15" customHeight="1" thickBot="1">
      <c r="A20" s="161"/>
      <c r="C20" s="28"/>
      <c r="D20" s="64" t="e" vm="13">
        <v>#VALUE!</v>
      </c>
      <c r="E20" s="64" t="str" cm="1">
        <f t="array" ref="E20">_FV(D20,"scientific name",TRUE)</f>
        <v>Animalia</v>
      </c>
      <c r="F20" s="28"/>
      <c r="G20" s="368"/>
      <c r="H20" s="368"/>
      <c r="I20" s="368"/>
      <c r="J20" s="368"/>
      <c r="K20" s="368"/>
      <c r="L20" s="368"/>
      <c r="M20" s="368"/>
      <c r="N20" s="368"/>
      <c r="O20" s="368"/>
      <c r="P20" s="368"/>
      <c r="Q20" s="368"/>
      <c r="R20" s="368"/>
      <c r="S20" s="368"/>
      <c r="T20" s="368"/>
      <c r="U20" s="368"/>
      <c r="V20" s="368"/>
      <c r="W20" s="368"/>
      <c r="X20" s="368"/>
      <c r="Y20" s="368"/>
      <c r="Z20" s="368"/>
      <c r="AA20" s="368"/>
      <c r="AB20" s="383"/>
      <c r="AC20" s="383"/>
      <c r="AD20" s="28"/>
    </row>
    <row r="21" spans="1:30" ht="15" customHeight="1" thickBot="1">
      <c r="A21" s="161"/>
      <c r="C21" s="28"/>
      <c r="D21" s="347" t="str" cm="1">
        <f t="array" ref="D21">_FV(D20,"wikipedia summary text",TRUE)</f>
        <v>Animals (also called Metazoa) are multicellular eukaryotic organisms that form the biological kingdom Animalia.</v>
      </c>
      <c r="E21" s="347"/>
      <c r="F21" s="28"/>
      <c r="G21" s="368"/>
      <c r="H21" s="368"/>
      <c r="I21" s="368"/>
      <c r="J21" s="368"/>
      <c r="K21" s="368"/>
      <c r="L21" s="368"/>
      <c r="M21" s="368"/>
      <c r="N21" s="368"/>
      <c r="O21" s="368"/>
      <c r="P21" s="368"/>
      <c r="Q21" s="368"/>
      <c r="R21" s="368"/>
      <c r="S21" s="368"/>
      <c r="T21" s="368"/>
      <c r="U21" s="368"/>
      <c r="V21" s="368"/>
      <c r="W21" s="368"/>
      <c r="X21" s="368"/>
      <c r="Y21" s="368"/>
      <c r="Z21" s="368"/>
      <c r="AA21" s="368"/>
      <c r="AB21" s="464"/>
      <c r="AC21" s="465"/>
      <c r="AD21" s="28"/>
    </row>
    <row r="22" spans="1:30" ht="22.5" customHeight="1">
      <c r="A22" s="161"/>
      <c r="C22" s="28"/>
      <c r="D22" s="347"/>
      <c r="E22" s="347"/>
      <c r="F22" s="28"/>
      <c r="G22" s="368"/>
      <c r="H22" s="368"/>
      <c r="I22" s="368"/>
      <c r="J22" s="368"/>
      <c r="K22" s="368"/>
      <c r="L22" s="368"/>
      <c r="M22" s="368"/>
      <c r="N22" s="368"/>
      <c r="O22" s="368"/>
      <c r="P22" s="368"/>
      <c r="Q22" s="368"/>
      <c r="R22" s="368"/>
      <c r="S22" s="368"/>
      <c r="T22" s="368"/>
      <c r="U22" s="368"/>
      <c r="V22" s="368"/>
      <c r="W22" s="368"/>
      <c r="X22" s="368"/>
      <c r="Y22" s="368"/>
      <c r="Z22" s="368"/>
      <c r="AA22" s="368"/>
      <c r="AB22" s="158" t="str">
        <f>Backend_P2!$J$5</f>
        <v/>
      </c>
      <c r="AC22" s="28"/>
      <c r="AD22" s="28"/>
    </row>
    <row r="23" spans="1:30" ht="7.5" customHeight="1">
      <c r="A23" s="161"/>
      <c r="C23" s="28"/>
      <c r="D23" s="28"/>
      <c r="E23" s="28"/>
      <c r="F23" s="28"/>
      <c r="G23" s="28"/>
      <c r="H23" s="28"/>
      <c r="I23" s="28"/>
      <c r="J23" s="28"/>
      <c r="K23" s="28"/>
      <c r="L23" s="28"/>
      <c r="M23" s="28"/>
      <c r="N23" s="28"/>
      <c r="O23" s="28"/>
      <c r="P23" s="28"/>
      <c r="Q23" s="28"/>
      <c r="R23" s="28"/>
      <c r="S23" s="463"/>
      <c r="T23" s="463"/>
      <c r="U23" s="463"/>
      <c r="V23" s="28"/>
      <c r="W23" s="28"/>
      <c r="X23" s="28"/>
      <c r="Y23" s="28"/>
      <c r="Z23" s="28"/>
      <c r="AA23" s="28"/>
      <c r="AB23" s="28"/>
      <c r="AC23" s="28"/>
      <c r="AD23" s="28"/>
    </row>
    <row r="24" spans="1:30" ht="7.5" customHeight="1">
      <c r="A24" s="161"/>
      <c r="C24" s="29"/>
      <c r="D24" s="29"/>
      <c r="E24" s="29"/>
      <c r="F24" s="29"/>
      <c r="G24" s="29"/>
      <c r="H24" s="29"/>
      <c r="I24" s="29"/>
      <c r="J24" s="29"/>
      <c r="K24" s="29"/>
      <c r="L24" s="29"/>
      <c r="M24" s="29"/>
      <c r="N24" s="29"/>
      <c r="O24" s="29"/>
      <c r="P24" s="29"/>
      <c r="Q24" s="29"/>
      <c r="R24" s="29"/>
      <c r="S24" s="466"/>
      <c r="T24" s="466"/>
      <c r="U24" s="466"/>
      <c r="V24" s="29"/>
      <c r="W24" s="29"/>
      <c r="X24" s="29"/>
      <c r="Y24" s="29"/>
      <c r="Z24" s="29"/>
      <c r="AA24" s="29"/>
      <c r="AB24" s="29"/>
      <c r="AC24" s="29"/>
      <c r="AD24" s="29"/>
    </row>
    <row r="25" spans="1:30" ht="18.600000000000001">
      <c r="A25" s="161"/>
      <c r="C25" s="29"/>
      <c r="D25" s="192" t="s">
        <v>23</v>
      </c>
      <c r="E25" s="192"/>
      <c r="F25" s="29"/>
      <c r="G25" s="381"/>
      <c r="H25" s="381"/>
      <c r="I25" s="381"/>
      <c r="J25" s="381"/>
      <c r="K25" s="381"/>
      <c r="L25" s="381"/>
      <c r="M25" s="381"/>
      <c r="N25" s="381"/>
      <c r="O25" s="381"/>
      <c r="P25" s="381"/>
      <c r="Q25" s="381"/>
      <c r="R25" s="381"/>
      <c r="S25" s="381"/>
      <c r="T25" s="381"/>
      <c r="U25" s="381"/>
      <c r="V25" s="381"/>
      <c r="W25" s="381"/>
      <c r="X25" s="349" t="s">
        <v>616</v>
      </c>
      <c r="Y25" s="349"/>
      <c r="Z25" s="349"/>
      <c r="AA25" s="349"/>
      <c r="AB25" s="29"/>
      <c r="AC25" s="29"/>
      <c r="AD25" s="29"/>
    </row>
    <row r="26" spans="1:30" ht="15" customHeight="1" thickBot="1">
      <c r="A26" s="161"/>
      <c r="C26" s="29"/>
      <c r="D26" s="37" t="e" vm="15">
        <v>#VALUE!</v>
      </c>
      <c r="E26" s="66" t="str" cm="1">
        <f t="array" ref="E26">_FV(D26,"scientific name",TRUE)</f>
        <v>Chordata</v>
      </c>
      <c r="F26" s="29"/>
      <c r="G26" s="381"/>
      <c r="H26" s="381"/>
      <c r="I26" s="381"/>
      <c r="J26" s="381"/>
      <c r="K26" s="381"/>
      <c r="L26" s="381"/>
      <c r="M26" s="381"/>
      <c r="N26" s="381"/>
      <c r="O26" s="381"/>
      <c r="P26" s="381"/>
      <c r="Q26" s="381"/>
      <c r="R26" s="381"/>
      <c r="S26" s="381"/>
      <c r="T26" s="381"/>
      <c r="U26" s="381"/>
      <c r="V26" s="381"/>
      <c r="W26" s="381"/>
      <c r="X26" s="350"/>
      <c r="Y26" s="350"/>
      <c r="Z26" s="350"/>
      <c r="AA26" s="350"/>
      <c r="AB26" s="29"/>
      <c r="AC26" s="29"/>
      <c r="AD26" s="29"/>
    </row>
    <row r="27" spans="1:30" ht="15" customHeight="1" thickBot="1">
      <c r="A27" s="161"/>
      <c r="C27" s="29"/>
      <c r="D27" s="348" t="str" cm="1">
        <f t="array" ref="D27">_FV(D26,"wikipedia summary text",TRUE)</f>
        <v>A chordate is an animal of the phylum Chordata. During some period of their life cycle, chordates possess a notochord, a dorsal nerve cord, pharyngeal slits, and a post–anal tail.</v>
      </c>
      <c r="E27" s="348"/>
      <c r="F27" s="29"/>
      <c r="G27" s="381"/>
      <c r="H27" s="381"/>
      <c r="I27" s="381"/>
      <c r="J27" s="381"/>
      <c r="K27" s="381"/>
      <c r="L27" s="381"/>
      <c r="M27" s="381"/>
      <c r="N27" s="381"/>
      <c r="O27" s="381"/>
      <c r="P27" s="381"/>
      <c r="Q27" s="381"/>
      <c r="R27" s="381"/>
      <c r="S27" s="381"/>
      <c r="T27" s="381"/>
      <c r="U27" s="381"/>
      <c r="V27" s="381"/>
      <c r="W27" s="381"/>
      <c r="X27" s="464"/>
      <c r="Y27" s="467"/>
      <c r="Z27" s="467"/>
      <c r="AA27" s="465"/>
      <c r="AB27" s="29"/>
      <c r="AC27" s="29"/>
      <c r="AD27" s="29"/>
    </row>
    <row r="28" spans="1:30" ht="22.5" customHeight="1">
      <c r="A28" s="161"/>
      <c r="C28" s="29"/>
      <c r="D28" s="348"/>
      <c r="E28" s="348"/>
      <c r="F28" s="29"/>
      <c r="G28" s="381"/>
      <c r="H28" s="381"/>
      <c r="I28" s="381"/>
      <c r="J28" s="381"/>
      <c r="K28" s="381"/>
      <c r="L28" s="381"/>
      <c r="M28" s="381"/>
      <c r="N28" s="381"/>
      <c r="O28" s="381"/>
      <c r="P28" s="381"/>
      <c r="Q28" s="381"/>
      <c r="R28" s="381"/>
      <c r="S28" s="381"/>
      <c r="T28" s="381"/>
      <c r="U28" s="381"/>
      <c r="V28" s="381"/>
      <c r="W28" s="381"/>
      <c r="X28" s="377" t="str">
        <f>Backend_P2!$J$6</f>
        <v/>
      </c>
      <c r="Y28" s="377"/>
      <c r="Z28" s="377"/>
      <c r="AA28" s="377"/>
      <c r="AB28" s="29"/>
      <c r="AC28" s="29"/>
      <c r="AD28" s="29"/>
    </row>
    <row r="29" spans="1:30" ht="7.5" customHeight="1">
      <c r="A29" s="161"/>
      <c r="C29" s="29"/>
      <c r="D29" s="29"/>
      <c r="E29" s="29"/>
      <c r="F29" s="29"/>
      <c r="G29" s="29"/>
      <c r="H29" s="29"/>
      <c r="I29" s="29"/>
      <c r="J29" s="29"/>
      <c r="K29" s="29"/>
      <c r="L29" s="29"/>
      <c r="M29" s="29"/>
      <c r="N29" s="29"/>
      <c r="O29" s="29"/>
      <c r="P29" s="29"/>
      <c r="Q29" s="29"/>
      <c r="R29" s="29"/>
      <c r="S29" s="466"/>
      <c r="T29" s="466"/>
      <c r="U29" s="466"/>
      <c r="V29" s="29"/>
      <c r="W29" s="29"/>
      <c r="X29" s="29"/>
      <c r="Y29" s="29"/>
      <c r="Z29" s="29"/>
      <c r="AA29" s="29"/>
      <c r="AB29" s="29"/>
      <c r="AC29" s="29"/>
      <c r="AD29" s="29"/>
    </row>
    <row r="30" spans="1:30" ht="7.5" customHeight="1">
      <c r="A30" s="161"/>
      <c r="C30" s="30"/>
      <c r="D30" s="30"/>
      <c r="E30" s="30"/>
      <c r="F30" s="30"/>
      <c r="G30" s="30"/>
      <c r="H30" s="30"/>
      <c r="I30" s="30"/>
      <c r="J30" s="30"/>
      <c r="K30" s="30"/>
      <c r="L30" s="30"/>
      <c r="M30" s="30"/>
      <c r="N30" s="30"/>
      <c r="O30" s="30"/>
      <c r="P30" s="30"/>
      <c r="Q30" s="30"/>
      <c r="R30" s="30"/>
      <c r="S30" s="468"/>
      <c r="T30" s="468"/>
      <c r="U30" s="468"/>
      <c r="V30" s="30"/>
      <c r="W30" s="30"/>
      <c r="X30" s="30"/>
      <c r="Y30" s="30"/>
      <c r="Z30" s="30"/>
      <c r="AA30" s="30"/>
      <c r="AB30" s="30"/>
      <c r="AC30" s="30"/>
      <c r="AD30" s="30"/>
    </row>
    <row r="31" spans="1:30" ht="18.75" customHeight="1">
      <c r="A31" s="161"/>
      <c r="C31" s="30"/>
      <c r="D31" s="191" t="s">
        <v>24</v>
      </c>
      <c r="E31" s="191"/>
      <c r="F31" s="30"/>
      <c r="G31" s="346"/>
      <c r="H31" s="346"/>
      <c r="I31" s="346"/>
      <c r="J31" s="346"/>
      <c r="K31" s="346"/>
      <c r="L31" s="346"/>
      <c r="M31" s="346"/>
      <c r="N31" s="346"/>
      <c r="O31" s="346"/>
      <c r="P31" s="346"/>
      <c r="Q31" s="346"/>
      <c r="R31" s="346"/>
      <c r="S31" s="371" t="s">
        <v>617</v>
      </c>
      <c r="T31" s="371"/>
      <c r="U31" s="371"/>
      <c r="V31" s="371"/>
      <c r="W31" s="371"/>
      <c r="X31" s="30"/>
      <c r="Y31" s="30"/>
      <c r="Z31" s="30"/>
      <c r="AA31" s="30"/>
      <c r="AB31" s="30"/>
      <c r="AC31" s="30"/>
      <c r="AD31" s="30"/>
    </row>
    <row r="32" spans="1:30" ht="15" customHeight="1" thickBot="1">
      <c r="C32" s="30"/>
      <c r="D32" s="38" t="e" vm="17">
        <v>#VALUE!</v>
      </c>
      <c r="E32" s="65" t="str" cm="1">
        <f t="array" ref="E32">_FV(D32,"scientific name",TRUE)</f>
        <v>Mammalia</v>
      </c>
      <c r="F32" s="30"/>
      <c r="G32" s="346"/>
      <c r="H32" s="346"/>
      <c r="I32" s="346"/>
      <c r="J32" s="346"/>
      <c r="K32" s="346"/>
      <c r="L32" s="346"/>
      <c r="M32" s="346"/>
      <c r="N32" s="346"/>
      <c r="O32" s="346"/>
      <c r="P32" s="346"/>
      <c r="Q32" s="346"/>
      <c r="R32" s="346"/>
      <c r="S32" s="372"/>
      <c r="T32" s="372"/>
      <c r="U32" s="372"/>
      <c r="V32" s="372"/>
      <c r="W32" s="372"/>
      <c r="X32" s="30"/>
      <c r="Y32" s="30"/>
      <c r="Z32" s="30"/>
      <c r="AA32" s="30"/>
      <c r="AB32" s="30"/>
      <c r="AC32" s="30"/>
      <c r="AD32" s="30"/>
    </row>
    <row r="33" spans="3:30" ht="15" customHeight="1" thickBot="1">
      <c r="C33" s="30"/>
      <c r="D33" s="370" t="str" cm="1">
        <f t="array" ref="D33">_FV(D32,"wikipedia summary text",TRUE)</f>
        <v>‎Mammals are a group of vertebrate animals, characterized by the presence of mammary glands for nursing their young, a neocortex, fur or hair, and three middle ear bones.</v>
      </c>
      <c r="E33" s="370"/>
      <c r="F33" s="30"/>
      <c r="G33" s="346"/>
      <c r="H33" s="346"/>
      <c r="I33" s="346"/>
      <c r="J33" s="346"/>
      <c r="K33" s="346"/>
      <c r="L33" s="346"/>
      <c r="M33" s="346"/>
      <c r="N33" s="346"/>
      <c r="O33" s="346"/>
      <c r="P33" s="346"/>
      <c r="Q33" s="346"/>
      <c r="R33" s="346"/>
      <c r="S33" s="464"/>
      <c r="T33" s="467"/>
      <c r="U33" s="467"/>
      <c r="V33" s="467"/>
      <c r="W33" s="465"/>
      <c r="X33" s="30"/>
      <c r="Y33" s="30"/>
      <c r="Z33" s="30"/>
      <c r="AA33" s="30"/>
      <c r="AB33" s="30"/>
      <c r="AC33" s="30"/>
      <c r="AD33" s="30"/>
    </row>
    <row r="34" spans="3:30" ht="22.5" customHeight="1">
      <c r="C34" s="30"/>
      <c r="D34" s="370"/>
      <c r="E34" s="370"/>
      <c r="F34" s="30"/>
      <c r="G34" s="346"/>
      <c r="H34" s="346"/>
      <c r="I34" s="346"/>
      <c r="J34" s="346"/>
      <c r="K34" s="346"/>
      <c r="L34" s="346"/>
      <c r="M34" s="346"/>
      <c r="N34" s="346"/>
      <c r="O34" s="346"/>
      <c r="P34" s="346"/>
      <c r="Q34" s="346"/>
      <c r="R34" s="346"/>
      <c r="S34" s="378" t="str">
        <f>Backend_P2!$J$7</f>
        <v/>
      </c>
      <c r="T34" s="378"/>
      <c r="U34" s="378"/>
      <c r="V34" s="378"/>
      <c r="W34" s="378"/>
      <c r="X34" s="30"/>
      <c r="Y34" s="30"/>
      <c r="Z34" s="30"/>
      <c r="AA34" s="30"/>
      <c r="AB34" s="30"/>
      <c r="AC34" s="30"/>
      <c r="AD34" s="30"/>
    </row>
    <row r="35" spans="3:30" ht="7.5" customHeight="1">
      <c r="C35" s="30"/>
      <c r="D35" s="30"/>
      <c r="E35" s="30"/>
      <c r="F35" s="30"/>
      <c r="G35" s="30"/>
      <c r="H35" s="30"/>
      <c r="I35" s="30"/>
      <c r="J35" s="30"/>
      <c r="K35" s="30"/>
      <c r="L35" s="30"/>
      <c r="M35" s="30"/>
      <c r="N35" s="30"/>
      <c r="O35" s="30"/>
      <c r="P35" s="30"/>
      <c r="Q35" s="30"/>
      <c r="R35" s="30"/>
      <c r="S35" s="30"/>
      <c r="T35" s="30"/>
      <c r="U35" s="30"/>
      <c r="V35" s="30"/>
      <c r="W35" s="30"/>
      <c r="X35" s="30"/>
      <c r="Y35" s="30"/>
      <c r="Z35" s="30"/>
      <c r="AA35" s="30"/>
      <c r="AB35" s="30"/>
      <c r="AC35" s="30"/>
      <c r="AD35" s="30"/>
    </row>
    <row r="36" spans="3:30" ht="7.5" customHeight="1">
      <c r="C36" s="31"/>
      <c r="D36" s="31"/>
      <c r="E36" s="31"/>
      <c r="F36" s="31"/>
      <c r="G36" s="31"/>
      <c r="H36" s="31"/>
      <c r="I36" s="31"/>
      <c r="J36" s="31"/>
      <c r="K36" s="31"/>
      <c r="L36" s="31"/>
      <c r="M36" s="31"/>
      <c r="N36" s="31"/>
      <c r="O36" s="31"/>
      <c r="P36" s="31"/>
      <c r="Q36" s="31"/>
      <c r="R36" s="31"/>
      <c r="S36" s="31"/>
      <c r="T36" s="31"/>
      <c r="U36" s="31"/>
      <c r="V36" s="31"/>
      <c r="W36" s="31"/>
      <c r="X36" s="31"/>
      <c r="Y36" s="31"/>
      <c r="Z36" s="31"/>
      <c r="AA36" s="31"/>
      <c r="AB36" s="31"/>
      <c r="AC36" s="31"/>
      <c r="AD36" s="31"/>
    </row>
    <row r="37" spans="3:30" ht="18.75" customHeight="1">
      <c r="C37" s="31"/>
      <c r="D37" s="195" t="s">
        <v>25</v>
      </c>
      <c r="E37" s="195"/>
      <c r="F37" s="31"/>
      <c r="G37" s="398"/>
      <c r="H37" s="398"/>
      <c r="I37" s="398"/>
      <c r="J37" s="398"/>
      <c r="K37" s="398"/>
      <c r="L37" s="398"/>
      <c r="M37" s="398"/>
      <c r="N37" s="398"/>
      <c r="O37" s="373" t="s">
        <v>618</v>
      </c>
      <c r="P37" s="373"/>
      <c r="Q37" s="373"/>
      <c r="R37" s="373"/>
      <c r="S37" s="31"/>
      <c r="T37" s="31"/>
      <c r="U37" s="31"/>
      <c r="V37" s="31"/>
      <c r="W37" s="31"/>
      <c r="X37" s="31"/>
      <c r="Y37" s="31"/>
      <c r="Z37" s="31"/>
      <c r="AA37" s="31"/>
      <c r="AB37" s="31"/>
      <c r="AC37" s="31"/>
      <c r="AD37" s="31"/>
    </row>
    <row r="38" spans="3:30" ht="15" customHeight="1" thickBot="1">
      <c r="C38" s="31"/>
      <c r="D38" s="39" t="e" vm="21">
        <v>#VALUE!</v>
      </c>
      <c r="E38" s="67" t="str" cm="1">
        <f t="array" ref="E38">_FV(D38,"scientific name",TRUE)</f>
        <v>Cetacea</v>
      </c>
      <c r="F38" s="31"/>
      <c r="G38" s="398"/>
      <c r="H38" s="398"/>
      <c r="I38" s="398"/>
      <c r="J38" s="398"/>
      <c r="K38" s="398"/>
      <c r="L38" s="398"/>
      <c r="M38" s="398"/>
      <c r="N38" s="398"/>
      <c r="O38" s="374"/>
      <c r="P38" s="374"/>
      <c r="Q38" s="374"/>
      <c r="R38" s="374"/>
      <c r="S38" s="31"/>
      <c r="T38" s="31"/>
      <c r="U38" s="31"/>
      <c r="V38" s="31"/>
      <c r="W38" s="31"/>
      <c r="X38" s="31"/>
      <c r="Y38" s="31"/>
      <c r="Z38" s="31"/>
      <c r="AA38" s="31"/>
      <c r="AB38" s="31"/>
      <c r="AC38" s="31"/>
      <c r="AD38" s="31"/>
    </row>
    <row r="39" spans="3:30" ht="15" customHeight="1" thickBot="1">
      <c r="C39" s="31"/>
      <c r="D39" s="359" t="str" cm="1">
        <f t="array" ref="D39">_FV(D38,"wikipedia summary text",TRUE)</f>
        <v>Cetaceans are fully aquatic mammals constituting the infraorder Cetacea. There are around 89 living species in this order.</v>
      </c>
      <c r="E39" s="359"/>
      <c r="F39" s="31"/>
      <c r="G39" s="398"/>
      <c r="H39" s="398"/>
      <c r="I39" s="398"/>
      <c r="J39" s="398"/>
      <c r="K39" s="398"/>
      <c r="L39" s="398"/>
      <c r="M39" s="398"/>
      <c r="N39" s="398"/>
      <c r="O39" s="464"/>
      <c r="P39" s="467"/>
      <c r="Q39" s="467"/>
      <c r="R39" s="465"/>
      <c r="S39" s="31"/>
      <c r="T39" s="31"/>
      <c r="U39" s="31"/>
      <c r="V39" s="31"/>
      <c r="W39" s="31"/>
      <c r="X39" s="31"/>
      <c r="Y39" s="31"/>
      <c r="Z39" s="31"/>
      <c r="AA39" s="31"/>
      <c r="AB39" s="31"/>
      <c r="AC39" s="31"/>
      <c r="AD39" s="31"/>
    </row>
    <row r="40" spans="3:30" ht="22.5" customHeight="1">
      <c r="C40" s="31"/>
      <c r="D40" s="359"/>
      <c r="E40" s="359"/>
      <c r="F40" s="31"/>
      <c r="G40" s="398"/>
      <c r="H40" s="398"/>
      <c r="I40" s="398"/>
      <c r="J40" s="398"/>
      <c r="K40" s="398"/>
      <c r="L40" s="398"/>
      <c r="M40" s="398"/>
      <c r="N40" s="398"/>
      <c r="O40" s="366" t="str">
        <f>Backend_P2!$J$8</f>
        <v/>
      </c>
      <c r="P40" s="366"/>
      <c r="Q40" s="366"/>
      <c r="R40" s="366"/>
      <c r="S40" s="31"/>
      <c r="T40" s="31"/>
      <c r="U40" s="31"/>
      <c r="V40" s="31"/>
      <c r="W40" s="31"/>
      <c r="X40" s="31"/>
      <c r="Y40" s="31"/>
      <c r="Z40" s="31"/>
      <c r="AA40" s="31"/>
      <c r="AB40" s="31"/>
      <c r="AC40" s="31"/>
      <c r="AD40" s="31"/>
    </row>
    <row r="41" spans="3:30" ht="7.5" customHeight="1">
      <c r="C41" s="31"/>
      <c r="D41" s="31"/>
      <c r="E41" s="31"/>
      <c r="F41" s="31"/>
      <c r="G41" s="31"/>
      <c r="H41" s="31"/>
      <c r="I41" s="31"/>
      <c r="J41" s="31"/>
      <c r="K41" s="31"/>
      <c r="L41" s="31"/>
      <c r="M41" s="31"/>
      <c r="N41" s="31"/>
      <c r="O41" s="31"/>
      <c r="P41" s="31"/>
      <c r="Q41" s="31"/>
      <c r="R41" s="31"/>
      <c r="S41" s="31"/>
      <c r="T41" s="31"/>
      <c r="U41" s="31"/>
      <c r="V41" s="31"/>
      <c r="W41" s="31"/>
      <c r="X41" s="31"/>
      <c r="Y41" s="31"/>
      <c r="Z41" s="31"/>
      <c r="AA41" s="31"/>
      <c r="AB41" s="31"/>
      <c r="AC41" s="31"/>
      <c r="AD41" s="31"/>
    </row>
    <row r="42" spans="3:30" ht="7.5" customHeight="1">
      <c r="C42" s="32"/>
      <c r="D42" s="32"/>
      <c r="E42" s="32"/>
      <c r="F42" s="32"/>
      <c r="G42" s="32"/>
      <c r="H42" s="32"/>
      <c r="I42" s="32"/>
      <c r="J42" s="32"/>
      <c r="K42" s="32"/>
      <c r="L42" s="32"/>
      <c r="M42" s="32"/>
      <c r="N42" s="32"/>
      <c r="O42" s="32"/>
      <c r="P42" s="32"/>
      <c r="Q42" s="32"/>
      <c r="R42" s="32"/>
      <c r="S42" s="32"/>
      <c r="T42" s="32"/>
      <c r="U42" s="32"/>
      <c r="V42" s="32"/>
      <c r="W42" s="32"/>
      <c r="X42" s="32"/>
      <c r="Y42" s="32"/>
      <c r="Z42" s="32"/>
      <c r="AA42" s="32"/>
      <c r="AB42" s="32"/>
      <c r="AC42" s="32"/>
      <c r="AD42" s="32"/>
    </row>
    <row r="43" spans="3:30" ht="18.75" customHeight="1">
      <c r="C43" s="32"/>
      <c r="D43" s="198" t="s">
        <v>26</v>
      </c>
      <c r="E43" s="198"/>
      <c r="F43" s="32"/>
      <c r="G43" s="397"/>
      <c r="H43" s="397"/>
      <c r="I43" s="469"/>
      <c r="J43" s="469"/>
      <c r="K43" s="375" t="s">
        <v>619</v>
      </c>
      <c r="L43" s="375"/>
      <c r="M43" s="375"/>
      <c r="N43" s="375"/>
      <c r="O43" s="32"/>
      <c r="P43" s="32"/>
      <c r="Q43" s="32"/>
      <c r="R43" s="32"/>
      <c r="S43" s="32"/>
      <c r="T43" s="32"/>
      <c r="U43" s="32"/>
      <c r="V43" s="32"/>
      <c r="W43" s="32"/>
      <c r="X43" s="32"/>
      <c r="Y43" s="32"/>
      <c r="Z43" s="32"/>
      <c r="AA43" s="32"/>
      <c r="AB43" s="32"/>
      <c r="AC43" s="32"/>
      <c r="AD43" s="32"/>
    </row>
    <row r="44" spans="3:30" ht="15" customHeight="1" thickBot="1">
      <c r="C44" s="32"/>
      <c r="D44" s="40" t="e" vm="27">
        <v>#VALUE!</v>
      </c>
      <c r="E44" s="70" t="str" cm="1">
        <f t="array" ref="E44">_FV(D44,"scientific name",TRUE)</f>
        <v>Delphinidae</v>
      </c>
      <c r="F44" s="32"/>
      <c r="G44" s="397"/>
      <c r="H44" s="397"/>
      <c r="I44" s="469"/>
      <c r="J44" s="469"/>
      <c r="K44" s="376"/>
      <c r="L44" s="376"/>
      <c r="M44" s="376"/>
      <c r="N44" s="376"/>
      <c r="O44" s="32"/>
      <c r="P44" s="32"/>
      <c r="Q44" s="32"/>
      <c r="R44" s="32"/>
      <c r="S44" s="32"/>
      <c r="T44" s="32"/>
      <c r="U44" s="32"/>
      <c r="V44" s="32"/>
      <c r="W44" s="32"/>
      <c r="X44" s="32"/>
      <c r="Y44" s="32"/>
      <c r="Z44" s="32"/>
      <c r="AA44" s="32"/>
      <c r="AB44" s="32"/>
      <c r="AC44" s="32"/>
      <c r="AD44" s="32"/>
    </row>
    <row r="45" spans="3:30" ht="15" customHeight="1" thickBot="1">
      <c r="C45" s="32"/>
      <c r="D45" s="358" t="str" cm="1">
        <f t="array" ref="D45">_FV(D44,"wikipedia summary text",TRUE)</f>
        <v>Oceanic dolphins or Delphinidae are a widely distributed family of dolphins that live in the sea. Thirty extant species are described.</v>
      </c>
      <c r="E45" s="358"/>
      <c r="F45" s="32"/>
      <c r="G45" s="397"/>
      <c r="H45" s="397"/>
      <c r="I45" s="469"/>
      <c r="J45" s="469"/>
      <c r="K45" s="464"/>
      <c r="L45" s="467"/>
      <c r="M45" s="467"/>
      <c r="N45" s="465"/>
      <c r="O45" s="32"/>
      <c r="P45" s="32"/>
      <c r="Q45" s="32"/>
      <c r="R45" s="32"/>
      <c r="S45" s="32"/>
      <c r="T45" s="32"/>
      <c r="U45" s="32"/>
      <c r="V45" s="32"/>
      <c r="W45" s="32"/>
      <c r="X45" s="32"/>
      <c r="Y45" s="32"/>
      <c r="Z45" s="32"/>
      <c r="AA45" s="32"/>
      <c r="AB45" s="32"/>
      <c r="AC45" s="32"/>
      <c r="AD45" s="32"/>
    </row>
    <row r="46" spans="3:30" ht="22.5" customHeight="1">
      <c r="C46" s="32"/>
      <c r="D46" s="358"/>
      <c r="E46" s="358"/>
      <c r="F46" s="32"/>
      <c r="G46" s="397"/>
      <c r="H46" s="397"/>
      <c r="I46" s="469"/>
      <c r="J46" s="469"/>
      <c r="K46" s="365" t="str">
        <f>Backend_P2!$J$9</f>
        <v/>
      </c>
      <c r="L46" s="365"/>
      <c r="M46" s="365"/>
      <c r="N46" s="365"/>
      <c r="O46" s="32"/>
      <c r="P46" s="32"/>
      <c r="Q46" s="32"/>
      <c r="R46" s="32"/>
      <c r="S46" s="32"/>
      <c r="T46" s="32"/>
      <c r="U46" s="32"/>
      <c r="V46" s="32"/>
      <c r="W46" s="32"/>
      <c r="X46" s="32"/>
      <c r="Y46" s="32"/>
      <c r="Z46" s="32"/>
      <c r="AA46" s="32"/>
      <c r="AB46" s="32"/>
      <c r="AC46" s="32"/>
      <c r="AD46" s="32"/>
    </row>
    <row r="47" spans="3:30" ht="7.5" customHeight="1">
      <c r="C47" s="32"/>
      <c r="D47" s="32"/>
      <c r="E47" s="32"/>
      <c r="F47" s="32"/>
      <c r="G47" s="32"/>
      <c r="H47" s="32"/>
      <c r="I47" s="32"/>
      <c r="J47" s="32"/>
      <c r="K47" s="32"/>
      <c r="L47" s="32"/>
      <c r="M47" s="32"/>
      <c r="N47" s="32"/>
      <c r="O47" s="32"/>
      <c r="P47" s="32"/>
      <c r="Q47" s="32"/>
      <c r="R47" s="32"/>
      <c r="S47" s="32"/>
      <c r="T47" s="32"/>
      <c r="U47" s="32"/>
      <c r="V47" s="32"/>
      <c r="W47" s="32"/>
      <c r="X47" s="32"/>
      <c r="Y47" s="32"/>
      <c r="Z47" s="32"/>
      <c r="AA47" s="32"/>
      <c r="AB47" s="32"/>
      <c r="AC47" s="32"/>
      <c r="AD47" s="32"/>
    </row>
    <row r="48" spans="3:30" ht="7.5" customHeight="1">
      <c r="C48" s="33"/>
      <c r="D48" s="33"/>
      <c r="E48" s="33"/>
      <c r="F48" s="33"/>
      <c r="G48" s="33"/>
      <c r="H48" s="33"/>
      <c r="I48" s="33"/>
      <c r="J48" s="33"/>
      <c r="K48" s="33"/>
      <c r="L48" s="33"/>
      <c r="M48" s="33"/>
      <c r="N48" s="33"/>
      <c r="O48" s="33"/>
      <c r="P48" s="33"/>
      <c r="Q48" s="33"/>
      <c r="R48" s="33"/>
      <c r="S48" s="33"/>
      <c r="T48" s="33"/>
      <c r="U48" s="33"/>
      <c r="V48" s="33"/>
      <c r="W48" s="33"/>
      <c r="X48" s="33"/>
      <c r="Y48" s="33"/>
      <c r="Z48" s="33"/>
      <c r="AA48" s="33"/>
      <c r="AB48" s="33"/>
      <c r="AC48" s="33"/>
      <c r="AD48" s="33"/>
    </row>
    <row r="49" spans="1:30" ht="18.75" customHeight="1">
      <c r="A49" s="161"/>
      <c r="C49" s="33"/>
      <c r="D49" s="197" t="s">
        <v>27</v>
      </c>
      <c r="E49" s="197"/>
      <c r="F49" s="33"/>
      <c r="G49" s="396"/>
      <c r="H49" s="396"/>
      <c r="I49" s="361" t="s">
        <v>620</v>
      </c>
      <c r="J49" s="361"/>
      <c r="K49" s="33"/>
      <c r="L49" s="33"/>
      <c r="M49" s="33"/>
      <c r="N49" s="33"/>
      <c r="O49" s="33"/>
      <c r="P49" s="33"/>
      <c r="Q49" s="33"/>
      <c r="R49" s="33"/>
      <c r="S49" s="33"/>
      <c r="T49" s="33"/>
      <c r="U49" s="33"/>
      <c r="V49" s="33"/>
      <c r="W49" s="33"/>
      <c r="X49" s="33"/>
      <c r="Y49" s="33"/>
      <c r="Z49" s="33"/>
      <c r="AA49" s="33"/>
      <c r="AB49" s="33"/>
      <c r="AC49" s="33"/>
      <c r="AD49" s="33"/>
    </row>
    <row r="50" spans="1:30" ht="15" customHeight="1" thickBot="1">
      <c r="C50" s="33"/>
      <c r="D50" s="41" t="e" vm="37">
        <v>#VALUE!</v>
      </c>
      <c r="E50" s="69" t="str" cm="1">
        <f t="array" ref="E50">_FV(D50,"scientific name",TRUE)</f>
        <v>Orcinus</v>
      </c>
      <c r="F50" s="33"/>
      <c r="G50" s="396"/>
      <c r="H50" s="396"/>
      <c r="I50" s="362"/>
      <c r="J50" s="362"/>
      <c r="K50" s="33"/>
      <c r="L50" s="33"/>
      <c r="M50" s="33"/>
      <c r="N50" s="33"/>
      <c r="O50" s="33"/>
      <c r="P50" s="33"/>
      <c r="Q50" s="33"/>
      <c r="R50" s="33"/>
      <c r="S50" s="33"/>
      <c r="T50" s="33"/>
      <c r="U50" s="33"/>
      <c r="V50" s="33"/>
      <c r="W50" s="33"/>
      <c r="X50" s="33"/>
      <c r="Y50" s="33"/>
      <c r="Z50" s="33"/>
      <c r="AA50" s="33"/>
      <c r="AB50" s="33"/>
      <c r="AC50" s="33"/>
      <c r="AD50" s="33"/>
    </row>
    <row r="51" spans="1:30" ht="15" customHeight="1" thickBot="1">
      <c r="C51" s="33"/>
      <c r="D51" s="357" t="str" cm="1">
        <f t="array" ref="D51">_FV(D50,"wikipedia summary text",TRUE)</f>
        <v>Orcinus is a genus of Delphinidae, the family of carnivorous marine mammals known as dolphins. It includes the largest delphinid species, Orcinus orca, known as the orca or killer whale.</v>
      </c>
      <c r="E51" s="357"/>
      <c r="F51" s="33"/>
      <c r="G51" s="396"/>
      <c r="H51" s="396"/>
      <c r="I51" s="470"/>
      <c r="J51" s="471"/>
      <c r="K51" s="33"/>
      <c r="L51" s="33"/>
      <c r="M51" s="33"/>
      <c r="N51" s="33"/>
      <c r="O51" s="33"/>
      <c r="P51" s="33"/>
      <c r="Q51" s="33"/>
      <c r="R51" s="33"/>
      <c r="S51" s="33"/>
      <c r="T51" s="33"/>
      <c r="U51" s="33"/>
      <c r="V51" s="33"/>
      <c r="W51" s="33"/>
      <c r="X51" s="33"/>
      <c r="Y51" s="33"/>
      <c r="Z51" s="33"/>
      <c r="AA51" s="33"/>
      <c r="AB51" s="33"/>
      <c r="AC51" s="33"/>
      <c r="AD51" s="33"/>
    </row>
    <row r="52" spans="1:30" ht="22.5" customHeight="1">
      <c r="C52" s="33"/>
      <c r="D52" s="357"/>
      <c r="E52" s="357"/>
      <c r="F52" s="33"/>
      <c r="G52" s="396"/>
      <c r="H52" s="396"/>
      <c r="I52" s="379" t="str">
        <f>Backend_P2!$J$10</f>
        <v/>
      </c>
      <c r="J52" s="379"/>
      <c r="K52" s="33"/>
      <c r="L52" s="33"/>
      <c r="M52" s="33"/>
      <c r="N52" s="33"/>
      <c r="O52" s="33"/>
      <c r="P52" s="33"/>
      <c r="Q52" s="33"/>
      <c r="R52" s="33"/>
      <c r="S52" s="33"/>
      <c r="T52" s="33"/>
      <c r="U52" s="33"/>
      <c r="V52" s="33"/>
      <c r="W52" s="33"/>
      <c r="X52" s="33"/>
      <c r="Y52" s="33"/>
      <c r="Z52" s="33"/>
      <c r="AA52" s="33"/>
      <c r="AB52" s="33"/>
      <c r="AC52" s="33"/>
      <c r="AD52" s="33"/>
    </row>
    <row r="53" spans="1:30" ht="2.25" customHeight="1">
      <c r="C53" s="33"/>
      <c r="D53" s="33"/>
      <c r="E53" s="33"/>
      <c r="F53" s="33"/>
      <c r="G53" s="33"/>
      <c r="H53" s="33"/>
      <c r="I53" s="33"/>
      <c r="J53" s="33"/>
      <c r="K53" s="33"/>
      <c r="L53" s="33"/>
      <c r="M53" s="33"/>
      <c r="N53" s="33"/>
      <c r="O53" s="33"/>
      <c r="P53" s="33"/>
      <c r="Q53" s="33"/>
      <c r="R53" s="33"/>
      <c r="S53" s="33"/>
      <c r="T53" s="33"/>
      <c r="U53" s="33"/>
      <c r="V53" s="33"/>
      <c r="W53" s="33"/>
      <c r="X53" s="33"/>
      <c r="Y53" s="33"/>
      <c r="Z53" s="33"/>
      <c r="AA53" s="33"/>
      <c r="AB53" s="33"/>
      <c r="AC53" s="33"/>
      <c r="AD53" s="33"/>
    </row>
    <row r="54" spans="1:30" ht="2.25" customHeight="1">
      <c r="C54" s="33"/>
      <c r="D54" s="33"/>
      <c r="E54" s="33"/>
      <c r="F54" s="33"/>
      <c r="G54" s="33"/>
      <c r="H54" s="33"/>
      <c r="I54" s="33"/>
      <c r="J54" s="33"/>
      <c r="K54" s="33"/>
      <c r="L54" s="33"/>
      <c r="M54" s="33"/>
      <c r="N54" s="33"/>
      <c r="O54" s="33"/>
      <c r="P54" s="33"/>
      <c r="Q54" s="33"/>
      <c r="R54" s="33"/>
      <c r="S54" s="33"/>
      <c r="T54" s="33"/>
      <c r="U54" s="33"/>
      <c r="V54" s="33"/>
      <c r="W54" s="33"/>
      <c r="X54" s="33"/>
      <c r="Y54" s="33"/>
      <c r="Z54" s="33"/>
      <c r="AA54" s="33"/>
      <c r="AB54" s="33"/>
      <c r="AC54" s="33"/>
      <c r="AD54" s="33"/>
    </row>
    <row r="55" spans="1:30" ht="1.5" customHeight="1">
      <c r="C55" s="33"/>
      <c r="D55" s="33"/>
      <c r="E55" s="33"/>
      <c r="F55" s="33"/>
      <c r="G55" s="33"/>
      <c r="H55" s="33"/>
      <c r="I55" s="33"/>
      <c r="J55" s="33"/>
      <c r="K55" s="33"/>
      <c r="L55" s="33"/>
      <c r="M55" s="33"/>
      <c r="N55" s="33"/>
      <c r="O55" s="33"/>
      <c r="P55" s="33"/>
      <c r="Q55" s="33"/>
      <c r="R55" s="33"/>
      <c r="S55" s="33"/>
      <c r="T55" s="33"/>
      <c r="U55" s="33"/>
      <c r="V55" s="33"/>
      <c r="W55" s="33"/>
      <c r="X55" s="33"/>
      <c r="Y55" s="33"/>
      <c r="Z55" s="33"/>
      <c r="AA55" s="33"/>
      <c r="AB55" s="33"/>
      <c r="AC55" s="33"/>
      <c r="AD55" s="33"/>
    </row>
    <row r="56" spans="1:30" ht="1.5" customHeight="1">
      <c r="C56" s="33"/>
      <c r="D56" s="33"/>
      <c r="E56" s="33"/>
      <c r="F56" s="33"/>
      <c r="G56" s="33"/>
      <c r="H56" s="33"/>
      <c r="I56" s="33"/>
      <c r="J56" s="33"/>
      <c r="K56" s="33"/>
      <c r="L56" s="33"/>
      <c r="M56" s="33"/>
      <c r="N56" s="33"/>
      <c r="O56" s="33"/>
      <c r="P56" s="33"/>
      <c r="Q56" s="33"/>
      <c r="R56" s="33"/>
      <c r="S56" s="33"/>
      <c r="T56" s="33"/>
      <c r="U56" s="33"/>
      <c r="V56" s="33"/>
      <c r="W56" s="33"/>
      <c r="X56" s="33"/>
      <c r="Y56" s="33"/>
      <c r="Z56" s="33"/>
      <c r="AA56" s="33"/>
      <c r="AB56" s="33"/>
      <c r="AC56" s="33"/>
      <c r="AD56" s="33"/>
    </row>
    <row r="57" spans="1:30" ht="1.5" customHeight="1">
      <c r="C57" s="34"/>
      <c r="D57" s="34"/>
      <c r="E57" s="34"/>
      <c r="F57" s="34"/>
      <c r="G57" s="34"/>
      <c r="H57" s="34"/>
      <c r="I57" s="34"/>
      <c r="J57" s="34"/>
      <c r="K57" s="34"/>
      <c r="L57" s="34"/>
      <c r="M57" s="34"/>
      <c r="N57" s="34"/>
      <c r="O57" s="34"/>
      <c r="P57" s="34"/>
      <c r="Q57" s="34"/>
      <c r="R57" s="34"/>
      <c r="S57" s="34"/>
      <c r="T57" s="34"/>
      <c r="U57" s="34"/>
      <c r="V57" s="34"/>
      <c r="W57" s="34"/>
      <c r="X57" s="34"/>
      <c r="Y57" s="34"/>
      <c r="Z57" s="34"/>
      <c r="AA57" s="34"/>
      <c r="AB57" s="34"/>
      <c r="AC57" s="34"/>
      <c r="AD57" s="34"/>
    </row>
    <row r="58" spans="1:30" ht="1.5" customHeight="1">
      <c r="C58" s="34"/>
      <c r="D58" s="34"/>
      <c r="E58" s="34"/>
      <c r="F58" s="34"/>
      <c r="G58" s="34"/>
      <c r="H58" s="34"/>
      <c r="I58" s="34"/>
      <c r="J58" s="34"/>
      <c r="K58" s="34"/>
      <c r="L58" s="34"/>
      <c r="M58" s="34"/>
      <c r="N58" s="34"/>
      <c r="O58" s="34"/>
      <c r="P58" s="34"/>
      <c r="Q58" s="34"/>
      <c r="R58" s="34"/>
      <c r="S58" s="34"/>
      <c r="T58" s="34"/>
      <c r="U58" s="34"/>
      <c r="V58" s="34"/>
      <c r="W58" s="34"/>
      <c r="X58" s="34"/>
      <c r="Y58" s="34"/>
      <c r="Z58" s="34"/>
      <c r="AA58" s="34"/>
      <c r="AB58" s="34"/>
      <c r="AC58" s="34"/>
      <c r="AD58" s="34"/>
    </row>
    <row r="59" spans="1:30" ht="2.25" customHeight="1">
      <c r="C59" s="34"/>
      <c r="D59" s="34"/>
      <c r="E59" s="34"/>
      <c r="F59" s="34"/>
      <c r="G59" s="34"/>
      <c r="H59" s="34"/>
      <c r="I59" s="34"/>
      <c r="J59" s="34"/>
      <c r="K59" s="34"/>
      <c r="L59" s="34"/>
      <c r="M59" s="34"/>
      <c r="N59" s="34"/>
      <c r="O59" s="34"/>
      <c r="P59" s="34"/>
      <c r="Q59" s="34"/>
      <c r="R59" s="34"/>
      <c r="S59" s="34"/>
      <c r="T59" s="34"/>
      <c r="U59" s="34"/>
      <c r="V59" s="34"/>
      <c r="W59" s="34"/>
      <c r="X59" s="34"/>
      <c r="Y59" s="34"/>
      <c r="Z59" s="34"/>
      <c r="AA59" s="34"/>
      <c r="AB59" s="34"/>
      <c r="AC59" s="34"/>
      <c r="AD59" s="34"/>
    </row>
    <row r="60" spans="1:30" ht="2.25" customHeight="1">
      <c r="C60" s="34"/>
      <c r="D60" s="34"/>
      <c r="E60" s="34"/>
      <c r="F60" s="34"/>
      <c r="G60" s="34"/>
      <c r="H60" s="34"/>
      <c r="I60" s="34"/>
      <c r="J60" s="34"/>
      <c r="K60" s="34"/>
      <c r="L60" s="34"/>
      <c r="M60" s="34"/>
      <c r="N60" s="34"/>
      <c r="O60" s="34"/>
      <c r="P60" s="34"/>
      <c r="Q60" s="34"/>
      <c r="R60" s="34"/>
      <c r="S60" s="34"/>
      <c r="T60" s="34"/>
      <c r="U60" s="34"/>
      <c r="V60" s="34"/>
      <c r="W60" s="34"/>
      <c r="X60" s="34"/>
      <c r="Y60" s="34"/>
      <c r="Z60" s="34"/>
      <c r="AA60" s="34"/>
      <c r="AB60" s="34"/>
      <c r="AC60" s="34"/>
      <c r="AD60" s="34"/>
    </row>
    <row r="61" spans="1:30" ht="18.75" customHeight="1">
      <c r="A61" s="161"/>
      <c r="C61" s="34"/>
      <c r="D61" s="196" t="s">
        <v>28</v>
      </c>
      <c r="E61" s="196"/>
      <c r="F61" s="34"/>
      <c r="G61" s="395"/>
      <c r="H61" s="395"/>
      <c r="I61" s="363" t="s">
        <v>621</v>
      </c>
      <c r="J61" s="363"/>
      <c r="K61" s="34"/>
      <c r="L61" s="34"/>
      <c r="M61" s="34"/>
      <c r="N61" s="34"/>
      <c r="O61" s="34"/>
      <c r="P61" s="34"/>
      <c r="Q61" s="34"/>
      <c r="R61" s="34"/>
      <c r="S61" s="34"/>
      <c r="T61" s="34"/>
      <c r="U61" s="34"/>
      <c r="V61" s="34"/>
      <c r="W61" s="34"/>
      <c r="X61" s="34"/>
      <c r="Y61" s="34"/>
      <c r="Z61" s="34"/>
      <c r="AA61" s="34"/>
      <c r="AB61" s="34"/>
      <c r="AC61" s="34"/>
      <c r="AD61" s="34"/>
    </row>
    <row r="62" spans="1:30" ht="15" customHeight="1" thickBot="1">
      <c r="C62" s="34"/>
      <c r="D62" s="42" t="e" vm="48">
        <v>#VALUE!</v>
      </c>
      <c r="E62" s="68" t="str" cm="1">
        <f t="array" ref="E62">_FV(D62,"scientific name",TRUE)</f>
        <v>Orcinus orca</v>
      </c>
      <c r="F62" s="34"/>
      <c r="G62" s="395"/>
      <c r="H62" s="395"/>
      <c r="I62" s="364"/>
      <c r="J62" s="364"/>
      <c r="K62" s="34"/>
      <c r="L62" s="34"/>
      <c r="M62" s="34"/>
      <c r="N62" s="34"/>
      <c r="O62" s="34"/>
      <c r="P62" s="34"/>
      <c r="Q62" s="34"/>
      <c r="R62" s="34"/>
      <c r="S62" s="34"/>
      <c r="T62" s="34"/>
      <c r="U62" s="34"/>
      <c r="V62" s="34"/>
      <c r="W62" s="34"/>
      <c r="X62" s="34"/>
      <c r="Y62" s="34"/>
      <c r="Z62" s="34"/>
      <c r="AA62" s="34"/>
      <c r="AB62" s="34"/>
      <c r="AC62" s="34"/>
      <c r="AD62" s="34"/>
    </row>
    <row r="63" spans="1:30" ht="15" customHeight="1" thickBot="1">
      <c r="C63" s="34"/>
      <c r="D63" s="360" t="str" cm="1">
        <f t="array" ref="D63">_FV(D62,"wikipedia summary text",TRUE)</f>
        <v>The killer whale (Orcinus orca), also known as the orca, is a toothed whale belonging to the oceanic dolphin family, of which it is the largest member.</v>
      </c>
      <c r="E63" s="360"/>
      <c r="F63" s="34"/>
      <c r="G63" s="395"/>
      <c r="H63" s="395"/>
      <c r="I63" s="464"/>
      <c r="J63" s="465"/>
      <c r="K63" s="34"/>
      <c r="L63" s="34"/>
      <c r="M63" s="34"/>
      <c r="N63" s="34"/>
      <c r="O63" s="34"/>
      <c r="P63" s="34"/>
      <c r="Q63" s="34"/>
      <c r="R63" s="34"/>
      <c r="S63" s="34"/>
      <c r="T63" s="34"/>
      <c r="U63" s="34"/>
      <c r="V63" s="34"/>
      <c r="W63" s="34"/>
      <c r="X63" s="34"/>
      <c r="Y63" s="34"/>
      <c r="Z63" s="34"/>
      <c r="AA63" s="34"/>
      <c r="AB63" s="34"/>
      <c r="AC63" s="34"/>
      <c r="AD63" s="34"/>
    </row>
    <row r="64" spans="1:30" ht="22.5" customHeight="1">
      <c r="C64" s="34"/>
      <c r="D64" s="360"/>
      <c r="E64" s="360"/>
      <c r="F64" s="34"/>
      <c r="G64" s="395"/>
      <c r="H64" s="395"/>
      <c r="I64" s="369" t="str">
        <f>Backend_P2!$J$11</f>
        <v/>
      </c>
      <c r="J64" s="369"/>
      <c r="K64" s="34"/>
      <c r="L64" s="34"/>
      <c r="M64" s="34"/>
      <c r="N64" s="34"/>
      <c r="O64" s="34"/>
      <c r="P64" s="34"/>
      <c r="Q64" s="34"/>
      <c r="R64" s="34"/>
      <c r="S64" s="34"/>
      <c r="T64" s="34"/>
      <c r="U64" s="34"/>
      <c r="V64" s="34"/>
      <c r="W64" s="34"/>
      <c r="X64" s="34"/>
      <c r="Y64" s="34"/>
      <c r="Z64" s="34"/>
      <c r="AA64" s="34"/>
      <c r="AB64" s="34"/>
      <c r="AC64" s="34"/>
      <c r="AD64" s="34"/>
    </row>
    <row r="65" spans="1:30" ht="7.5" customHeight="1">
      <c r="C65" s="34"/>
      <c r="D65" s="34"/>
      <c r="E65" s="34"/>
      <c r="F65" s="34"/>
      <c r="G65" s="34"/>
      <c r="H65" s="34"/>
      <c r="I65" s="34"/>
      <c r="J65" s="34"/>
      <c r="K65" s="34"/>
      <c r="L65" s="34"/>
      <c r="M65" s="34"/>
      <c r="N65" s="34"/>
      <c r="O65" s="34"/>
      <c r="P65" s="34"/>
      <c r="Q65" s="34"/>
      <c r="R65" s="34"/>
      <c r="S65" s="34"/>
      <c r="T65" s="34"/>
      <c r="U65" s="34"/>
      <c r="V65" s="34"/>
      <c r="W65" s="34"/>
      <c r="X65" s="34"/>
      <c r="Y65" s="34"/>
      <c r="Z65" s="34"/>
      <c r="AA65" s="34"/>
      <c r="AB65" s="34"/>
      <c r="AC65" s="34"/>
      <c r="AD65" s="34"/>
    </row>
    <row r="66" spans="1:30" ht="3.75" customHeight="1"/>
    <row r="67" spans="1:30" ht="3.75" customHeight="1"/>
    <row r="68" spans="1:30" ht="3.75" customHeight="1" thickBot="1">
      <c r="C68" s="120"/>
      <c r="D68" s="120"/>
      <c r="E68" s="120"/>
      <c r="F68" s="120"/>
      <c r="G68" s="120"/>
      <c r="H68" s="120"/>
      <c r="I68" s="120"/>
      <c r="J68" s="120"/>
      <c r="K68" s="120"/>
      <c r="L68" s="120"/>
      <c r="M68" s="120"/>
      <c r="N68" s="120"/>
      <c r="O68" s="120"/>
      <c r="P68" s="120"/>
      <c r="Q68" s="120"/>
      <c r="R68" s="120"/>
      <c r="S68" s="120"/>
      <c r="T68" s="120"/>
      <c r="V68" s="120"/>
      <c r="W68" s="120"/>
      <c r="X68" s="120"/>
      <c r="Y68" s="120"/>
      <c r="Z68" s="120"/>
      <c r="AA68" s="120"/>
      <c r="AB68" s="120"/>
      <c r="AC68" s="120"/>
      <c r="AD68" s="120"/>
    </row>
    <row r="69" spans="1:30" ht="30" customHeight="1" thickBot="1">
      <c r="A69" s="80"/>
      <c r="B69" s="80"/>
      <c r="C69" s="25"/>
      <c r="D69" s="214" t="s">
        <v>585</v>
      </c>
      <c r="E69" s="214"/>
      <c r="F69" s="214"/>
      <c r="G69" s="214"/>
      <c r="H69" s="25"/>
      <c r="I69" s="25"/>
      <c r="J69" s="72"/>
      <c r="K69" s="25"/>
      <c r="L69" s="72"/>
      <c r="M69" s="72"/>
      <c r="N69" s="72"/>
      <c r="O69" s="72"/>
      <c r="P69" s="72"/>
      <c r="Q69" s="72"/>
      <c r="R69" s="72"/>
      <c r="S69" s="72"/>
      <c r="T69" s="72"/>
      <c r="V69" s="141" t="s">
        <v>586</v>
      </c>
      <c r="W69" s="82"/>
      <c r="X69" s="82"/>
      <c r="Y69" s="82"/>
      <c r="Z69" s="82"/>
      <c r="AA69" s="82"/>
      <c r="AB69" s="82"/>
      <c r="AC69" s="82"/>
      <c r="AD69" s="82"/>
    </row>
    <row r="70" spans="1:30" ht="18.75" customHeight="1" thickBot="1">
      <c r="C70" s="72"/>
      <c r="D70" s="216" t="s">
        <v>622</v>
      </c>
      <c r="E70" s="216"/>
      <c r="F70" s="216"/>
      <c r="G70" s="216"/>
      <c r="H70" s="145"/>
      <c r="I70" s="46" t="e" vm="11">
        <v>#VALUE!</v>
      </c>
      <c r="J70" s="72"/>
      <c r="K70" s="353"/>
      <c r="L70" s="72"/>
      <c r="M70" s="354" t="e" vm="1">
        <v>#VALUE!</v>
      </c>
      <c r="N70" s="355"/>
      <c r="O70" s="355"/>
      <c r="P70" s="356"/>
      <c r="Q70" s="353"/>
      <c r="R70" s="353"/>
      <c r="S70" s="353"/>
      <c r="T70" s="72"/>
      <c r="V70" s="72"/>
      <c r="W70" s="72"/>
      <c r="X70" s="72"/>
      <c r="Y70" s="72"/>
      <c r="Z70" s="72"/>
      <c r="AA70" s="72"/>
      <c r="AB70" s="72"/>
      <c r="AC70" s="72"/>
      <c r="AD70" s="72"/>
    </row>
    <row r="71" spans="1:30" ht="18.75" customHeight="1">
      <c r="C71" s="72"/>
      <c r="D71" s="216"/>
      <c r="E71" s="216"/>
      <c r="F71" s="216"/>
      <c r="G71" s="216"/>
      <c r="H71" s="145"/>
      <c r="I71" s="24"/>
      <c r="J71" s="72"/>
      <c r="K71" s="353"/>
      <c r="L71" s="36"/>
      <c r="M71" s="36"/>
      <c r="N71" s="36"/>
      <c r="O71" s="72"/>
      <c r="P71" s="72"/>
      <c r="Q71" s="353"/>
      <c r="R71" s="353"/>
      <c r="S71" s="353"/>
      <c r="T71" s="72"/>
      <c r="V71" s="72"/>
      <c r="W71" s="72"/>
      <c r="X71" s="72"/>
      <c r="Y71" s="72"/>
      <c r="Z71" s="72"/>
      <c r="AA71" s="72"/>
      <c r="AB71" s="72"/>
      <c r="AC71" s="72"/>
      <c r="AD71" s="72"/>
    </row>
    <row r="72" spans="1:30" ht="3.75" customHeight="1" thickBot="1">
      <c r="C72" s="72"/>
      <c r="D72" s="145"/>
      <c r="E72" s="145"/>
      <c r="F72" s="145"/>
      <c r="G72" s="145"/>
      <c r="H72" s="145"/>
      <c r="I72" s="24"/>
      <c r="J72" s="72"/>
      <c r="K72" s="156"/>
      <c r="L72" s="36"/>
      <c r="M72" s="36"/>
      <c r="N72" s="36"/>
      <c r="O72" s="72"/>
      <c r="P72" s="72"/>
      <c r="Q72" s="156"/>
      <c r="R72" s="72"/>
      <c r="S72" s="72"/>
      <c r="T72" s="72"/>
      <c r="V72" s="72"/>
      <c r="W72" s="72"/>
      <c r="X72" s="72"/>
      <c r="Y72" s="72"/>
      <c r="Z72" s="72"/>
      <c r="AA72" s="72"/>
      <c r="AB72" s="72"/>
      <c r="AC72" s="72"/>
      <c r="AD72" s="72"/>
    </row>
    <row r="73" spans="1:30" ht="18.75" customHeight="1">
      <c r="C73" s="72"/>
      <c r="D73" s="386"/>
      <c r="E73" s="387"/>
      <c r="F73" s="387"/>
      <c r="G73" s="387"/>
      <c r="H73" s="387"/>
      <c r="I73" s="387"/>
      <c r="J73" s="387"/>
      <c r="K73" s="387"/>
      <c r="L73" s="387"/>
      <c r="M73" s="387"/>
      <c r="N73" s="387"/>
      <c r="O73" s="387"/>
      <c r="P73" s="387"/>
      <c r="Q73" s="387"/>
      <c r="R73" s="387"/>
      <c r="S73" s="388"/>
      <c r="T73" s="72"/>
      <c r="V73" s="72"/>
      <c r="W73" s="72"/>
      <c r="X73" s="72"/>
      <c r="Y73" s="72"/>
      <c r="Z73" s="72"/>
      <c r="AA73" s="72"/>
      <c r="AB73" s="72"/>
      <c r="AC73" s="72"/>
      <c r="AD73" s="72"/>
    </row>
    <row r="74" spans="1:30" ht="18.75" customHeight="1">
      <c r="C74" s="72"/>
      <c r="D74" s="389"/>
      <c r="E74" s="390"/>
      <c r="F74" s="390"/>
      <c r="G74" s="390"/>
      <c r="H74" s="390"/>
      <c r="I74" s="390"/>
      <c r="J74" s="390"/>
      <c r="K74" s="390"/>
      <c r="L74" s="390"/>
      <c r="M74" s="390"/>
      <c r="N74" s="390"/>
      <c r="O74" s="390"/>
      <c r="P74" s="390"/>
      <c r="Q74" s="390"/>
      <c r="R74" s="390"/>
      <c r="S74" s="391"/>
      <c r="T74" s="72"/>
      <c r="V74" s="72"/>
      <c r="W74" s="72"/>
      <c r="X74" s="72"/>
      <c r="Y74" s="72"/>
      <c r="Z74" s="72"/>
      <c r="AA74" s="72"/>
      <c r="AB74" s="72"/>
      <c r="AC74" s="72"/>
      <c r="AD74" s="72"/>
    </row>
    <row r="75" spans="1:30" ht="18.75" customHeight="1">
      <c r="C75" s="72"/>
      <c r="D75" s="389"/>
      <c r="E75" s="390"/>
      <c r="F75" s="390"/>
      <c r="G75" s="390"/>
      <c r="H75" s="390"/>
      <c r="I75" s="390"/>
      <c r="J75" s="390"/>
      <c r="K75" s="390"/>
      <c r="L75" s="390"/>
      <c r="M75" s="390"/>
      <c r="N75" s="390"/>
      <c r="O75" s="390"/>
      <c r="P75" s="390"/>
      <c r="Q75" s="390"/>
      <c r="R75" s="390"/>
      <c r="S75" s="391"/>
      <c r="T75" s="72"/>
      <c r="V75" s="72"/>
      <c r="W75" s="72"/>
      <c r="X75" s="72"/>
      <c r="Y75" s="72"/>
      <c r="Z75" s="72"/>
      <c r="AA75" s="72"/>
      <c r="AB75" s="72"/>
      <c r="AC75" s="72"/>
      <c r="AD75" s="72"/>
    </row>
    <row r="76" spans="1:30" ht="18.75" customHeight="1">
      <c r="C76" s="72"/>
      <c r="D76" s="389"/>
      <c r="E76" s="390"/>
      <c r="F76" s="390"/>
      <c r="G76" s="390"/>
      <c r="H76" s="390"/>
      <c r="I76" s="390"/>
      <c r="J76" s="390"/>
      <c r="K76" s="390"/>
      <c r="L76" s="390"/>
      <c r="M76" s="390"/>
      <c r="N76" s="390"/>
      <c r="O76" s="390"/>
      <c r="P76" s="390"/>
      <c r="Q76" s="390"/>
      <c r="R76" s="390"/>
      <c r="S76" s="391"/>
      <c r="T76" s="72"/>
      <c r="V76" s="72"/>
      <c r="W76" s="72"/>
      <c r="X76" s="72"/>
      <c r="Y76" s="72"/>
      <c r="Z76" s="72"/>
      <c r="AA76" s="72"/>
      <c r="AB76" s="72"/>
      <c r="AC76" s="72"/>
      <c r="AD76" s="72"/>
    </row>
    <row r="77" spans="1:30" ht="18.75" customHeight="1">
      <c r="C77" s="72"/>
      <c r="D77" s="389"/>
      <c r="E77" s="390"/>
      <c r="F77" s="390"/>
      <c r="G77" s="390"/>
      <c r="H77" s="390"/>
      <c r="I77" s="390"/>
      <c r="J77" s="390"/>
      <c r="K77" s="390"/>
      <c r="L77" s="390"/>
      <c r="M77" s="390"/>
      <c r="N77" s="390"/>
      <c r="O77" s="390"/>
      <c r="P77" s="390"/>
      <c r="Q77" s="390"/>
      <c r="R77" s="390"/>
      <c r="S77" s="391"/>
      <c r="T77" s="72"/>
      <c r="V77" s="72"/>
      <c r="W77" s="72"/>
      <c r="X77" s="72"/>
      <c r="Y77" s="72"/>
      <c r="Z77" s="72"/>
      <c r="AA77" s="72"/>
      <c r="AB77" s="72"/>
      <c r="AC77" s="72"/>
      <c r="AD77" s="72"/>
    </row>
    <row r="78" spans="1:30" ht="18.75" customHeight="1">
      <c r="C78" s="72"/>
      <c r="D78" s="389"/>
      <c r="E78" s="390"/>
      <c r="F78" s="390"/>
      <c r="G78" s="390"/>
      <c r="H78" s="390"/>
      <c r="I78" s="390"/>
      <c r="J78" s="390"/>
      <c r="K78" s="390"/>
      <c r="L78" s="390"/>
      <c r="M78" s="390"/>
      <c r="N78" s="390"/>
      <c r="O78" s="390"/>
      <c r="P78" s="390"/>
      <c r="Q78" s="390"/>
      <c r="R78" s="390"/>
      <c r="S78" s="391"/>
      <c r="T78" s="72"/>
      <c r="V78" s="72"/>
      <c r="W78" s="72"/>
      <c r="X78" s="72"/>
      <c r="Y78" s="72"/>
      <c r="Z78" s="72"/>
      <c r="AA78" s="72"/>
      <c r="AB78" s="72"/>
      <c r="AC78" s="72"/>
      <c r="AD78" s="72"/>
    </row>
    <row r="79" spans="1:30" ht="18.75" customHeight="1">
      <c r="C79" s="72"/>
      <c r="D79" s="389"/>
      <c r="E79" s="390"/>
      <c r="F79" s="390"/>
      <c r="G79" s="390"/>
      <c r="H79" s="390"/>
      <c r="I79" s="390"/>
      <c r="J79" s="390"/>
      <c r="K79" s="390"/>
      <c r="L79" s="390"/>
      <c r="M79" s="390"/>
      <c r="N79" s="390"/>
      <c r="O79" s="390"/>
      <c r="P79" s="390"/>
      <c r="Q79" s="390"/>
      <c r="R79" s="390"/>
      <c r="S79" s="391"/>
      <c r="T79" s="72"/>
      <c r="V79" s="72"/>
      <c r="W79" s="72"/>
      <c r="X79" s="72"/>
      <c r="Y79" s="72"/>
      <c r="Z79" s="72"/>
      <c r="AA79" s="72"/>
      <c r="AB79" s="72"/>
      <c r="AC79" s="72"/>
      <c r="AD79" s="72"/>
    </row>
    <row r="80" spans="1:30" ht="18.75" customHeight="1">
      <c r="C80" s="72"/>
      <c r="D80" s="389"/>
      <c r="E80" s="390"/>
      <c r="F80" s="390"/>
      <c r="G80" s="390"/>
      <c r="H80" s="390"/>
      <c r="I80" s="390"/>
      <c r="J80" s="390"/>
      <c r="K80" s="390"/>
      <c r="L80" s="390"/>
      <c r="M80" s="390"/>
      <c r="N80" s="390"/>
      <c r="O80" s="390"/>
      <c r="P80" s="390"/>
      <c r="Q80" s="390"/>
      <c r="R80" s="390"/>
      <c r="S80" s="391"/>
      <c r="T80" s="72"/>
      <c r="V80" s="72"/>
      <c r="W80" s="72"/>
      <c r="X80" s="72"/>
      <c r="Y80" s="72"/>
      <c r="Z80" s="72"/>
      <c r="AA80" s="72"/>
      <c r="AB80" s="72"/>
      <c r="AC80" s="72"/>
      <c r="AD80" s="72"/>
    </row>
    <row r="81" spans="3:31" ht="11.25" customHeight="1" thickBot="1">
      <c r="C81" s="72"/>
      <c r="D81" s="389"/>
      <c r="E81" s="390"/>
      <c r="F81" s="390"/>
      <c r="G81" s="390"/>
      <c r="H81" s="390"/>
      <c r="I81" s="390"/>
      <c r="J81" s="390"/>
      <c r="K81" s="390"/>
      <c r="L81" s="390"/>
      <c r="M81" s="390"/>
      <c r="N81" s="390"/>
      <c r="O81" s="390"/>
      <c r="P81" s="390"/>
      <c r="Q81" s="390"/>
      <c r="R81" s="390"/>
      <c r="S81" s="391"/>
      <c r="T81" s="72"/>
    </row>
    <row r="82" spans="3:31" ht="11.25" customHeight="1" thickBot="1">
      <c r="C82" s="72"/>
      <c r="D82" s="392"/>
      <c r="E82" s="393"/>
      <c r="F82" s="393"/>
      <c r="G82" s="393"/>
      <c r="H82" s="393"/>
      <c r="I82" s="393"/>
      <c r="J82" s="393"/>
      <c r="K82" s="393"/>
      <c r="L82" s="393"/>
      <c r="M82" s="393"/>
      <c r="N82" s="393"/>
      <c r="O82" s="393"/>
      <c r="P82" s="393"/>
      <c r="Q82" s="393"/>
      <c r="R82" s="393"/>
      <c r="S82" s="394"/>
      <c r="T82" s="72"/>
      <c r="V82" s="341" t="s">
        <v>530</v>
      </c>
      <c r="W82" s="384"/>
      <c r="X82" s="342"/>
      <c r="Y82" s="137"/>
      <c r="Z82" s="336" t="s">
        <v>488</v>
      </c>
      <c r="AA82" s="336"/>
      <c r="AB82" s="336"/>
      <c r="AC82" s="336"/>
      <c r="AD82" s="336"/>
      <c r="AE82" s="137"/>
    </row>
    <row r="83" spans="3:31" ht="11.25" customHeight="1">
      <c r="C83" s="72"/>
      <c r="D83" s="72"/>
      <c r="E83" s="72"/>
      <c r="F83" s="72"/>
      <c r="G83" s="72"/>
      <c r="H83" s="25"/>
      <c r="I83" s="25"/>
      <c r="J83" s="25"/>
      <c r="K83" s="25"/>
      <c r="L83" s="72"/>
      <c r="M83" s="72"/>
      <c r="N83" s="72"/>
      <c r="O83" s="72"/>
      <c r="P83" s="72"/>
      <c r="Q83" s="72"/>
      <c r="R83" s="72"/>
      <c r="S83" s="72"/>
      <c r="T83" s="72"/>
      <c r="V83" s="343"/>
      <c r="W83" s="385"/>
      <c r="X83" s="344"/>
      <c r="Y83" s="137"/>
      <c r="Z83" s="336"/>
      <c r="AA83" s="336"/>
      <c r="AB83" s="336"/>
      <c r="AC83" s="336"/>
      <c r="AD83" s="336"/>
      <c r="AE83" s="137"/>
    </row>
  </sheetData>
  <mergeCells count="83">
    <mergeCell ref="X10:Z11"/>
    <mergeCell ref="S10:V11"/>
    <mergeCell ref="V82:X83"/>
    <mergeCell ref="D73:S82"/>
    <mergeCell ref="Z82:AD83"/>
    <mergeCell ref="Q70:S71"/>
    <mergeCell ref="G61:H64"/>
    <mergeCell ref="G49:H52"/>
    <mergeCell ref="I43:J46"/>
    <mergeCell ref="G43:H46"/>
    <mergeCell ref="K37:N40"/>
    <mergeCell ref="I37:J40"/>
    <mergeCell ref="G37:H40"/>
    <mergeCell ref="X19:AA22"/>
    <mergeCell ref="G25:H28"/>
    <mergeCell ref="I25:J28"/>
    <mergeCell ref="AB13:AD16"/>
    <mergeCell ref="K25:N28"/>
    <mergeCell ref="O25:R28"/>
    <mergeCell ref="S25:W28"/>
    <mergeCell ref="AB21:AC21"/>
    <mergeCell ref="AB19:AC20"/>
    <mergeCell ref="X13:AA16"/>
    <mergeCell ref="S18:U18"/>
    <mergeCell ref="K10:M11"/>
    <mergeCell ref="D8:AB8"/>
    <mergeCell ref="I64:J64"/>
    <mergeCell ref="D33:E34"/>
    <mergeCell ref="X27:AA27"/>
    <mergeCell ref="S33:W33"/>
    <mergeCell ref="O39:R39"/>
    <mergeCell ref="K45:N45"/>
    <mergeCell ref="S31:W32"/>
    <mergeCell ref="O37:R38"/>
    <mergeCell ref="K43:N44"/>
    <mergeCell ref="S30:U30"/>
    <mergeCell ref="X28:AA28"/>
    <mergeCell ref="S34:W34"/>
    <mergeCell ref="I52:J52"/>
    <mergeCell ref="D15:E16"/>
    <mergeCell ref="G19:H22"/>
    <mergeCell ref="I19:J22"/>
    <mergeCell ref="K19:N22"/>
    <mergeCell ref="O19:R22"/>
    <mergeCell ref="S19:W22"/>
    <mergeCell ref="G13:H16"/>
    <mergeCell ref="I13:J16"/>
    <mergeCell ref="O13:R16"/>
    <mergeCell ref="K13:N16"/>
    <mergeCell ref="S13:W16"/>
    <mergeCell ref="K46:N46"/>
    <mergeCell ref="O40:R40"/>
    <mergeCell ref="O31:R34"/>
    <mergeCell ref="K31:N34"/>
    <mergeCell ref="I31:J34"/>
    <mergeCell ref="D45:E46"/>
    <mergeCell ref="D39:E40"/>
    <mergeCell ref="D63:E64"/>
    <mergeCell ref="I63:J63"/>
    <mergeCell ref="I49:J50"/>
    <mergeCell ref="I61:J62"/>
    <mergeCell ref="I51:J51"/>
    <mergeCell ref="K70:K71"/>
    <mergeCell ref="M70:P70"/>
    <mergeCell ref="D70:G71"/>
    <mergeCell ref="D69:G69"/>
    <mergeCell ref="D51:E52"/>
    <mergeCell ref="AB10:AC11"/>
    <mergeCell ref="C5:AD5"/>
    <mergeCell ref="G31:H34"/>
    <mergeCell ref="C4:X4"/>
    <mergeCell ref="D7:AB7"/>
    <mergeCell ref="S29:U29"/>
    <mergeCell ref="S24:U24"/>
    <mergeCell ref="S23:U23"/>
    <mergeCell ref="D21:E22"/>
    <mergeCell ref="D27:E28"/>
    <mergeCell ref="X25:AA26"/>
    <mergeCell ref="I10:I11"/>
    <mergeCell ref="G10:G11"/>
    <mergeCell ref="O10:Q11"/>
    <mergeCell ref="S12:U12"/>
    <mergeCell ref="S17:U17"/>
  </mergeCells>
  <hyperlinks>
    <hyperlink ref="Z82:AD83" location="NavCell_P5" display="Next page" xr:uid="{129271C0-14B6-49BC-A5A4-2F16A174392B}"/>
    <hyperlink ref="V82:X83" location="NavCell_P3" display="Previous page" xr:uid="{656E7B91-EC0C-451E-A4BC-5CAB69B1FC78}"/>
  </hyperlinks>
  <pageMargins left="0.7" right="0.7" top="0.75" bottom="0.75" header="0.3" footer="0.3"/>
  <pageSetup orientation="portrait" verticalDpi="300" r:id="rId1"/>
  <drawing r:id="rId2"/>
  <extLst>
    <ext xmlns:x14="http://schemas.microsoft.com/office/spreadsheetml/2009/9/main" uri="{CCE6A557-97BC-4b89-ADB6-D9C93CAAB3DF}">
      <x14:dataValidations xmlns:xm="http://schemas.microsoft.com/office/excel/2006/main" count="7">
        <x14:dataValidation type="list" allowBlank="1" showInputMessage="1" showErrorMessage="1" xr:uid="{E947FC76-1115-44CE-B2DE-C459C4FAB80D}">
          <x14:formula1>
            <xm:f>Backend_P2!$C$5:$E$5</xm:f>
          </x14:formula1>
          <xm:sqref>AB21</xm:sqref>
        </x14:dataValidation>
        <x14:dataValidation type="list" allowBlank="1" showInputMessage="1" showErrorMessage="1" xr:uid="{91754BBE-8905-4906-8EF5-475109D41348}">
          <x14:formula1>
            <xm:f>Backend_P2!$C$6:$E$6</xm:f>
          </x14:formula1>
          <xm:sqref>X27:Z27</xm:sqref>
        </x14:dataValidation>
        <x14:dataValidation type="list" allowBlank="1" showInputMessage="1" showErrorMessage="1" xr:uid="{E103298F-61D8-4E41-8A58-4496884ACB21}">
          <x14:formula1>
            <xm:f>Backend_P2!$C$7:$E$7</xm:f>
          </x14:formula1>
          <xm:sqref>S33:V33</xm:sqref>
        </x14:dataValidation>
        <x14:dataValidation type="list" allowBlank="1" showInputMessage="1" showErrorMessage="1" xr:uid="{FD20438C-82F9-48AB-8A7D-838FCAD91DB6}">
          <x14:formula1>
            <xm:f>Backend_P2!$C$8:$E$8</xm:f>
          </x14:formula1>
          <xm:sqref>O39:Q39</xm:sqref>
        </x14:dataValidation>
        <x14:dataValidation type="list" allowBlank="1" showInputMessage="1" showErrorMessage="1" xr:uid="{052368A8-7A6D-406A-871F-47A3A69EE284}">
          <x14:formula1>
            <xm:f>Backend_P2!$C$10:$E$10</xm:f>
          </x14:formula1>
          <xm:sqref>I51</xm:sqref>
        </x14:dataValidation>
        <x14:dataValidation type="list" allowBlank="1" showInputMessage="1" showErrorMessage="1" xr:uid="{A50A3282-A7D0-4BCF-A57B-B32511258433}">
          <x14:formula1>
            <xm:f>Backend_P2!$C$11:$E$11</xm:f>
          </x14:formula1>
          <xm:sqref>I63</xm:sqref>
        </x14:dataValidation>
        <x14:dataValidation type="list" allowBlank="1" showInputMessage="1" showErrorMessage="1" xr:uid="{26AC1F6B-1424-40B2-A1D5-6708F9005745}">
          <x14:formula1>
            <xm:f>Backend_P2!$C$9:$E$9</xm:f>
          </x14:formula1>
          <xm:sqref>K45:L45</xm:sqref>
        </x14:dataValidation>
      </x14:dataValidations>
    </ext>
  </extLst>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1F2D2D-8E94-4666-A46F-768893186328}">
  <sheetPr codeName="Sheet18">
    <tabColor theme="8" tint="0.79998168889431442"/>
  </sheetPr>
  <dimension ref="A1:M24"/>
  <sheetViews>
    <sheetView showGridLines="0" zoomScaleNormal="100" workbookViewId="0"/>
  </sheetViews>
  <sheetFormatPr defaultColWidth="9" defaultRowHeight="18.75" customHeight="1"/>
  <cols>
    <col min="1" max="1" width="0.25" style="2" customWidth="1"/>
    <col min="2" max="2" width="1.625" style="2" customWidth="1"/>
    <col min="3" max="3" width="1.875" style="2" customWidth="1"/>
    <col min="4" max="4" width="30" style="2" customWidth="1"/>
    <col min="5" max="5" width="11.25" style="2" customWidth="1"/>
    <col min="6" max="6" width="28.125" style="2" customWidth="1"/>
    <col min="7" max="7" width="22.5" style="2" customWidth="1"/>
    <col min="8" max="8" width="7.5" style="2" customWidth="1"/>
    <col min="9" max="9" width="9.375" style="2" customWidth="1"/>
    <col min="10" max="10" width="13.125" style="2" customWidth="1"/>
    <col min="11" max="11" width="5.625" style="2" customWidth="1"/>
    <col min="12" max="12" width="20.625" style="2" customWidth="1"/>
    <col min="13" max="13" width="1.875" style="2" customWidth="1"/>
    <col min="14" max="16384" width="9" style="2"/>
  </cols>
  <sheetData>
    <row r="1" spans="1:13" ht="11.25" customHeight="1">
      <c r="A1" s="161" t="s">
        <v>623</v>
      </c>
    </row>
    <row r="2" spans="1:13" ht="32.1" customHeight="1">
      <c r="A2" s="161" t="s">
        <v>624</v>
      </c>
      <c r="C2" s="272" t="s">
        <v>623</v>
      </c>
      <c r="D2" s="272"/>
      <c r="E2" s="272"/>
      <c r="F2" s="272"/>
      <c r="G2" s="272"/>
      <c r="H2" s="272"/>
      <c r="I2" s="272"/>
      <c r="J2" s="272"/>
      <c r="K2" s="272"/>
      <c r="L2" s="272"/>
      <c r="M2" s="272"/>
    </row>
    <row r="3" spans="1:13" ht="26.25" customHeight="1">
      <c r="A3" s="161" t="s">
        <v>625</v>
      </c>
      <c r="C3" s="399" t="s">
        <v>626</v>
      </c>
      <c r="D3" s="399"/>
      <c r="E3" s="399"/>
      <c r="F3" s="399"/>
      <c r="G3" s="399"/>
      <c r="H3" s="399"/>
      <c r="I3" s="399"/>
      <c r="J3" s="399"/>
      <c r="K3" s="399"/>
      <c r="L3" s="399"/>
      <c r="M3" s="134"/>
    </row>
    <row r="4" spans="1:13" ht="26.25" customHeight="1">
      <c r="A4" s="161" t="s">
        <v>627</v>
      </c>
      <c r="C4" s="399"/>
      <c r="D4" s="399"/>
      <c r="E4" s="399"/>
      <c r="F4" s="399"/>
      <c r="G4" s="399"/>
      <c r="H4" s="399"/>
      <c r="I4" s="399"/>
      <c r="J4" s="399"/>
      <c r="K4" s="399"/>
      <c r="L4" s="399"/>
      <c r="M4" s="134"/>
    </row>
    <row r="5" spans="1:13" ht="11.25" customHeight="1" thickBot="1">
      <c r="A5" s="173" t="s">
        <v>628</v>
      </c>
      <c r="B5" s="43"/>
      <c r="C5" s="128"/>
      <c r="D5" s="128"/>
      <c r="E5" s="128"/>
      <c r="F5" s="128"/>
      <c r="G5" s="128"/>
      <c r="H5" s="128"/>
      <c r="I5" s="128"/>
      <c r="J5" s="128"/>
      <c r="K5" s="128"/>
      <c r="L5" s="128"/>
      <c r="M5" s="128"/>
    </row>
    <row r="6" spans="1:13" ht="32.1" customHeight="1">
      <c r="A6" s="170" t="s">
        <v>545</v>
      </c>
      <c r="B6" s="80"/>
      <c r="C6" s="25"/>
      <c r="D6" s="400" t="s">
        <v>629</v>
      </c>
      <c r="E6" s="400"/>
      <c r="F6" s="400"/>
      <c r="G6" s="400"/>
      <c r="H6" s="400"/>
      <c r="I6" s="400"/>
      <c r="J6" s="400"/>
      <c r="K6" s="135"/>
      <c r="L6" s="135"/>
      <c r="M6" s="25"/>
    </row>
    <row r="7" spans="1:13" ht="18.75" customHeight="1">
      <c r="A7" s="161"/>
      <c r="C7" s="72"/>
      <c r="D7" s="218" t="s">
        <v>630</v>
      </c>
      <c r="E7" s="218"/>
      <c r="F7" s="218"/>
      <c r="G7" s="218"/>
      <c r="H7" s="218"/>
      <c r="I7" s="218"/>
      <c r="J7" s="218"/>
      <c r="K7" s="218"/>
      <c r="L7" s="145"/>
      <c r="M7" s="72"/>
    </row>
    <row r="8" spans="1:13" ht="18.75" customHeight="1" thickBot="1">
      <c r="A8" s="161"/>
      <c r="C8" s="72"/>
      <c r="D8" s="92" t="s">
        <v>521</v>
      </c>
      <c r="E8" s="401" t="s">
        <v>631</v>
      </c>
      <c r="F8" s="401"/>
      <c r="G8" s="60"/>
      <c r="H8" s="60"/>
      <c r="I8" s="60"/>
      <c r="J8" s="60"/>
      <c r="K8" s="60"/>
      <c r="L8" s="60"/>
      <c r="M8" s="72"/>
    </row>
    <row r="9" spans="1:13" ht="18.75" customHeight="1" thickBot="1">
      <c r="A9" s="161"/>
      <c r="C9" s="72"/>
      <c r="D9" s="88" t="e" vm="126">
        <v>#VALUE!</v>
      </c>
      <c r="E9" s="415" cm="1">
        <f t="array" ref="E9">_FV(D9,"population")</f>
        <v>6822</v>
      </c>
      <c r="F9" s="416"/>
      <c r="G9" s="406"/>
      <c r="H9" s="406"/>
      <c r="I9" s="406"/>
      <c r="J9" s="406"/>
      <c r="K9" s="60"/>
      <c r="L9" s="60"/>
      <c r="M9" s="72"/>
    </row>
    <row r="10" spans="1:13" ht="11.25" customHeight="1">
      <c r="C10" s="72"/>
      <c r="D10" s="72"/>
      <c r="E10" s="72"/>
      <c r="F10" s="72"/>
      <c r="G10" s="60"/>
      <c r="H10" s="60"/>
      <c r="I10" s="60"/>
      <c r="J10" s="60"/>
      <c r="K10" s="60"/>
      <c r="L10" s="60"/>
      <c r="M10" s="72"/>
    </row>
    <row r="11" spans="1:13" ht="112.5" customHeight="1">
      <c r="C11" s="72"/>
      <c r="D11" s="72"/>
      <c r="E11" s="73"/>
      <c r="F11" s="73"/>
      <c r="G11" s="73"/>
      <c r="H11" s="73"/>
      <c r="I11" s="73"/>
      <c r="J11" s="160"/>
      <c r="K11" s="160"/>
      <c r="L11" s="160"/>
      <c r="M11" s="72"/>
    </row>
    <row r="12" spans="1:13" ht="11.25" customHeight="1">
      <c r="C12" s="72"/>
      <c r="D12" s="72"/>
      <c r="E12" s="72"/>
      <c r="F12" s="72"/>
      <c r="G12" s="72"/>
      <c r="H12" s="72"/>
      <c r="I12" s="72"/>
      <c r="J12" s="72"/>
      <c r="K12" s="72"/>
      <c r="L12" s="72"/>
      <c r="M12" s="72"/>
    </row>
    <row r="13" spans="1:13" ht="18.75" customHeight="1">
      <c r="C13" s="72"/>
      <c r="D13" s="216" t="s">
        <v>632</v>
      </c>
      <c r="E13" s="216"/>
      <c r="F13" s="216"/>
      <c r="G13" s="216"/>
      <c r="H13" s="216"/>
      <c r="I13" s="216"/>
      <c r="J13" s="216"/>
      <c r="K13" s="216"/>
      <c r="L13" s="216"/>
      <c r="M13" s="72"/>
    </row>
    <row r="14" spans="1:13" ht="18.75" customHeight="1">
      <c r="C14" s="72"/>
      <c r="D14" s="216"/>
      <c r="E14" s="216"/>
      <c r="F14" s="216"/>
      <c r="G14" s="216"/>
      <c r="H14" s="216"/>
      <c r="I14" s="216"/>
      <c r="J14" s="216"/>
      <c r="K14" s="216"/>
      <c r="L14" s="216"/>
      <c r="M14" s="72"/>
    </row>
    <row r="15" spans="1:13" ht="18.75" customHeight="1" thickBot="1">
      <c r="C15" s="72"/>
      <c r="D15" s="216"/>
      <c r="E15" s="216"/>
      <c r="F15" s="216"/>
      <c r="G15" s="216"/>
      <c r="H15" s="216"/>
      <c r="I15" s="216"/>
      <c r="J15" s="216"/>
      <c r="K15" s="216"/>
      <c r="L15" s="216"/>
      <c r="M15" s="72"/>
    </row>
    <row r="16" spans="1:13" ht="18.75" customHeight="1" thickBot="1">
      <c r="C16" s="72"/>
      <c r="D16" s="90" t="s">
        <v>633</v>
      </c>
      <c r="E16" s="408" t="s">
        <v>631</v>
      </c>
      <c r="F16" s="409"/>
      <c r="G16" s="407" t="s">
        <v>634</v>
      </c>
      <c r="H16" s="408"/>
      <c r="I16" s="409"/>
      <c r="J16" s="408" t="s">
        <v>635</v>
      </c>
      <c r="K16" s="408"/>
      <c r="L16" s="408"/>
      <c r="M16" s="72"/>
    </row>
    <row r="17" spans="3:13" ht="18.75" customHeight="1" thickBot="1">
      <c r="C17" s="72"/>
      <c r="D17" s="52" t="e" vm="129">
        <v>#VALUE!</v>
      </c>
      <c r="E17" s="413" cm="1">
        <f t="array" ref="E17">_FV(D17,"population")</f>
        <v>2177</v>
      </c>
      <c r="F17" s="414"/>
      <c r="G17" s="410" cm="1">
        <f t="array" ref="G17">_FV(D17,"latitude")</f>
        <v>48.478889000000002</v>
      </c>
      <c r="H17" s="411"/>
      <c r="I17" s="412"/>
      <c r="J17" s="411" cm="1">
        <f t="array" ref="J17">_FV(D17,"longitude")</f>
        <v>-122.891944</v>
      </c>
      <c r="K17" s="411"/>
      <c r="L17" s="411"/>
      <c r="M17" s="72"/>
    </row>
    <row r="18" spans="3:13" ht="11.25" customHeight="1">
      <c r="C18" s="72"/>
      <c r="D18" s="72"/>
      <c r="E18" s="72"/>
      <c r="F18" s="72"/>
      <c r="G18" s="72"/>
      <c r="H18" s="72"/>
      <c r="I18" s="72"/>
      <c r="J18" s="72"/>
      <c r="K18" s="72"/>
      <c r="L18" s="72"/>
      <c r="M18" s="72"/>
    </row>
    <row r="19" spans="3:13" ht="19.5" customHeight="1">
      <c r="C19" s="72"/>
      <c r="D19" s="159"/>
      <c r="E19" s="209"/>
      <c r="F19" s="418"/>
      <c r="G19" s="419"/>
      <c r="H19" s="420"/>
      <c r="I19" s="209"/>
      <c r="J19" s="209"/>
      <c r="K19" s="209"/>
      <c r="L19" s="209"/>
      <c r="M19" s="72"/>
    </row>
    <row r="20" spans="3:13" ht="157.5" customHeight="1">
      <c r="C20" s="72"/>
      <c r="D20" s="417"/>
      <c r="E20" s="417"/>
      <c r="F20" s="418"/>
      <c r="G20" s="419"/>
      <c r="H20" s="420"/>
      <c r="I20" s="208"/>
      <c r="J20" s="208"/>
      <c r="K20" s="208"/>
      <c r="L20" s="208"/>
      <c r="M20" s="72"/>
    </row>
    <row r="21" spans="3:13" ht="11.25" customHeight="1">
      <c r="C21" s="72"/>
      <c r="D21" s="72"/>
      <c r="E21" s="72"/>
      <c r="F21" s="72"/>
      <c r="G21" s="72"/>
      <c r="H21" s="72"/>
      <c r="I21" s="72"/>
      <c r="J21" s="72"/>
      <c r="K21" s="72"/>
      <c r="L21" s="72"/>
      <c r="M21" s="72"/>
    </row>
    <row r="22" spans="3:13" ht="12" customHeight="1" thickBot="1"/>
    <row r="23" spans="3:13" ht="11.25" customHeight="1">
      <c r="I23" s="341" t="s">
        <v>530</v>
      </c>
      <c r="J23" s="342"/>
      <c r="K23" s="136"/>
      <c r="L23" s="402" t="s">
        <v>488</v>
      </c>
      <c r="M23" s="403"/>
    </row>
    <row r="24" spans="3:13" ht="11.25" customHeight="1" thickBot="1">
      <c r="I24" s="343"/>
      <c r="J24" s="344"/>
      <c r="K24" s="136"/>
      <c r="L24" s="404"/>
      <c r="M24" s="405"/>
    </row>
  </sheetData>
  <mergeCells count="18">
    <mergeCell ref="L23:M24"/>
    <mergeCell ref="I23:J24"/>
    <mergeCell ref="D13:L15"/>
    <mergeCell ref="G9:J9"/>
    <mergeCell ref="G16:I16"/>
    <mergeCell ref="G17:I17"/>
    <mergeCell ref="J16:L16"/>
    <mergeCell ref="J17:L17"/>
    <mergeCell ref="E17:F17"/>
    <mergeCell ref="E9:F9"/>
    <mergeCell ref="E16:F16"/>
    <mergeCell ref="D20:E20"/>
    <mergeCell ref="F19:H20"/>
    <mergeCell ref="C2:M2"/>
    <mergeCell ref="C3:L4"/>
    <mergeCell ref="D6:J6"/>
    <mergeCell ref="D7:K7"/>
    <mergeCell ref="E8:F8"/>
  </mergeCells>
  <hyperlinks>
    <hyperlink ref="L23:M24" location="NavCell_P6" display="Next page" xr:uid="{34696D44-4A06-43CD-BBFF-E71842DAEA46}"/>
    <hyperlink ref="I23:J24" location="NavCell_P4" display="Previous page" xr:uid="{1358BE25-FAFD-457C-92B1-F0F039BB06A1}"/>
  </hyperlinks>
  <pageMargins left="0.7" right="0.7" top="0.75" bottom="0.75" header="0.3" footer="0.3"/>
  <pageSetup orientation="portrait" verticalDpi="300" r:id="rId1"/>
  <drawing r:id="rId2"/>
  <extLst>
    <ext xmlns:x14="http://schemas.microsoft.com/office/spreadsheetml/2009/9/main" uri="{CCE6A557-97BC-4b89-ADB6-D9C93CAAB3DF}">
      <x14:dataValidations xmlns:xm="http://schemas.microsoft.com/office/excel/2006/main" disablePrompts="1" count="1">
        <x14:dataValidation type="list" allowBlank="1" showInputMessage="1" showErrorMessage="1" xr:uid="{BA2463DA-4129-4B65-BCD5-507E374BDE9F}">
          <x14:formula1>
            <xm:f>Locations!$A$2:$A$6</xm:f>
          </x14:formula1>
          <xm:sqref>D17</xm:sqref>
        </x14:dataValidation>
      </x14:dataValidations>
    </ext>
  </extLst>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A6C71A-B1ED-4816-A4A5-EA667AC6BD4F}">
  <sheetPr codeName="Sheet10">
    <tabColor theme="8" tint="0.79998168889431442"/>
  </sheetPr>
  <dimension ref="A1:Y37"/>
  <sheetViews>
    <sheetView showGridLines="0" workbookViewId="0"/>
  </sheetViews>
  <sheetFormatPr defaultColWidth="9" defaultRowHeight="18.75" customHeight="1"/>
  <cols>
    <col min="1" max="1" width="0.25" style="2" customWidth="1"/>
    <col min="2" max="2" width="1.625" style="2" customWidth="1"/>
    <col min="3" max="3" width="1.875" style="2" customWidth="1"/>
    <col min="4" max="4" width="22.5" style="2" customWidth="1"/>
    <col min="5" max="6" width="15" style="2" customWidth="1"/>
    <col min="7" max="7" width="3.625" style="2" customWidth="1"/>
    <col min="8" max="8" width="15" style="2" customWidth="1"/>
    <col min="9" max="9" width="1.875" style="2" customWidth="1"/>
    <col min="10" max="11" width="11.125" style="2" customWidth="1"/>
    <col min="12" max="14" width="1.875" style="2" customWidth="1"/>
    <col min="15" max="15" width="11.25" style="2" customWidth="1"/>
    <col min="16" max="16" width="9.375" style="2" customWidth="1"/>
    <col min="17" max="17" width="5.625" style="2" customWidth="1"/>
    <col min="18" max="18" width="9.375" style="2" customWidth="1"/>
    <col min="19" max="19" width="11.25" style="2" customWidth="1"/>
    <col min="20" max="20" width="1.875" style="2" customWidth="1"/>
    <col min="21" max="16384" width="9" style="2"/>
  </cols>
  <sheetData>
    <row r="1" spans="1:25" ht="11.25" customHeight="1">
      <c r="A1" s="161" t="s">
        <v>636</v>
      </c>
    </row>
    <row r="2" spans="1:25" ht="30" customHeight="1">
      <c r="A2" s="161" t="s">
        <v>637</v>
      </c>
      <c r="C2" s="460" t="s">
        <v>636</v>
      </c>
      <c r="D2" s="460"/>
      <c r="E2" s="460"/>
      <c r="F2" s="460"/>
      <c r="G2" s="460"/>
      <c r="H2" s="460"/>
      <c r="I2" s="460"/>
      <c r="J2" s="460"/>
      <c r="K2" s="460"/>
      <c r="L2" s="460"/>
      <c r="M2" s="460"/>
      <c r="N2" s="460"/>
      <c r="O2" s="460"/>
      <c r="P2" s="460"/>
      <c r="Q2" s="460"/>
      <c r="R2" s="460"/>
      <c r="S2" s="460"/>
      <c r="T2" s="460"/>
    </row>
    <row r="3" spans="1:25" ht="18.75" customHeight="1">
      <c r="A3" s="161" t="s">
        <v>638</v>
      </c>
      <c r="C3" s="399" t="s">
        <v>637</v>
      </c>
      <c r="D3" s="399"/>
      <c r="E3" s="399"/>
      <c r="F3" s="399"/>
      <c r="G3" s="399"/>
      <c r="H3" s="399"/>
      <c r="I3" s="399"/>
      <c r="J3" s="399"/>
      <c r="K3" s="399"/>
      <c r="L3" s="399"/>
      <c r="M3" s="399"/>
      <c r="N3" s="399"/>
      <c r="O3" s="399"/>
      <c r="P3" s="399"/>
      <c r="Q3" s="399"/>
      <c r="R3" s="399"/>
      <c r="S3" s="399"/>
      <c r="T3" s="399"/>
    </row>
    <row r="4" spans="1:25" ht="18.75" customHeight="1">
      <c r="A4" s="161" t="s">
        <v>639</v>
      </c>
      <c r="C4" s="399"/>
      <c r="D4" s="399"/>
      <c r="E4" s="399"/>
      <c r="F4" s="399"/>
      <c r="G4" s="399"/>
      <c r="H4" s="399"/>
      <c r="I4" s="399"/>
      <c r="J4" s="399"/>
      <c r="K4" s="399"/>
      <c r="L4" s="399"/>
      <c r="M4" s="399"/>
      <c r="N4" s="399"/>
      <c r="O4" s="399"/>
      <c r="P4" s="399"/>
      <c r="Q4" s="399"/>
      <c r="R4" s="399"/>
      <c r="S4" s="399"/>
      <c r="T4" s="399"/>
    </row>
    <row r="5" spans="1:25" s="59" customFormat="1" ht="11.25" customHeight="1" thickBot="1">
      <c r="A5" s="170" t="s">
        <v>640</v>
      </c>
      <c r="C5" s="108"/>
      <c r="D5" s="108"/>
      <c r="E5" s="108"/>
      <c r="F5" s="108"/>
      <c r="G5" s="108"/>
      <c r="H5" s="108"/>
      <c r="I5" s="108"/>
      <c r="J5" s="108"/>
      <c r="K5" s="108"/>
      <c r="L5" s="108"/>
      <c r="M5" s="108"/>
      <c r="N5" s="108"/>
      <c r="O5" s="108"/>
      <c r="P5" s="108"/>
      <c r="Q5" s="108"/>
      <c r="R5" s="108"/>
      <c r="S5" s="108"/>
      <c r="T5" s="108"/>
      <c r="W5" s="2"/>
      <c r="X5" s="2"/>
      <c r="Y5" s="2"/>
    </row>
    <row r="6" spans="1:25" ht="30" customHeight="1">
      <c r="A6" s="174" t="s">
        <v>641</v>
      </c>
      <c r="B6" s="80"/>
      <c r="C6" s="25"/>
      <c r="D6" s="214" t="s">
        <v>642</v>
      </c>
      <c r="E6" s="214"/>
      <c r="F6" s="214"/>
      <c r="G6" s="214"/>
      <c r="H6" s="214"/>
      <c r="I6" s="214"/>
      <c r="J6" s="214"/>
      <c r="K6" s="214"/>
      <c r="L6" s="214"/>
      <c r="M6" s="214"/>
      <c r="N6" s="25"/>
      <c r="O6" s="25"/>
      <c r="P6" s="25"/>
      <c r="Q6" s="25"/>
      <c r="R6" s="25"/>
      <c r="S6" s="25"/>
      <c r="T6" s="25"/>
    </row>
    <row r="7" spans="1:25" ht="18.75" customHeight="1" thickBot="1">
      <c r="A7" s="174" t="s">
        <v>643</v>
      </c>
      <c r="B7" s="80"/>
      <c r="C7" s="25"/>
      <c r="D7" s="190" t="s">
        <v>644</v>
      </c>
      <c r="E7" s="129"/>
      <c r="F7" s="129"/>
      <c r="G7" s="129"/>
      <c r="H7" s="129"/>
      <c r="I7" s="129"/>
      <c r="J7" s="129"/>
      <c r="K7" s="129"/>
      <c r="L7" s="129"/>
      <c r="M7" s="129"/>
      <c r="N7" s="25"/>
      <c r="O7" s="25"/>
      <c r="P7" s="25"/>
      <c r="Q7" s="25"/>
      <c r="R7" s="25"/>
      <c r="S7" s="25"/>
      <c r="T7" s="25"/>
    </row>
    <row r="8" spans="1:25" ht="18.75" customHeight="1" thickBot="1">
      <c r="A8" s="161" t="s">
        <v>645</v>
      </c>
      <c r="C8" s="72"/>
      <c r="D8" s="132" t="s">
        <v>474</v>
      </c>
      <c r="E8" s="72"/>
      <c r="F8" s="72"/>
      <c r="G8" s="72"/>
      <c r="H8" s="72"/>
      <c r="I8" s="25"/>
      <c r="J8" s="25"/>
      <c r="K8" s="25"/>
      <c r="L8" s="25"/>
      <c r="M8" s="25"/>
      <c r="N8" s="25"/>
      <c r="O8" s="25"/>
      <c r="P8" s="72"/>
      <c r="Q8" s="72"/>
      <c r="R8" s="72"/>
      <c r="S8" s="72"/>
      <c r="T8" s="72"/>
    </row>
    <row r="9" spans="1:25" ht="18.75" customHeight="1">
      <c r="A9" s="161" t="s">
        <v>646</v>
      </c>
      <c r="C9" s="72"/>
      <c r="D9" s="430" t="str">
        <f>_xlfn.XLOOKUP(D8,Backend_P3!$C$3:$C$7,Backend_P3!$D$3:$D$7)</f>
        <v xml:space="preserve">Notice the chart that this chart was all ready for these coordinates, and immediately visualized those locations once the formulas were complete! </v>
      </c>
      <c r="E9" s="430"/>
      <c r="F9" s="430"/>
      <c r="G9" s="146"/>
      <c r="H9" s="146"/>
      <c r="I9" s="25"/>
      <c r="J9" s="25"/>
      <c r="K9" s="25"/>
      <c r="L9" s="25"/>
      <c r="M9" s="25"/>
      <c r="N9" s="25"/>
      <c r="O9" s="25"/>
      <c r="P9" s="72"/>
      <c r="Q9" s="72"/>
      <c r="R9" s="72"/>
      <c r="S9" s="72"/>
      <c r="T9" s="72"/>
    </row>
    <row r="10" spans="1:25" ht="18.75" customHeight="1">
      <c r="A10" s="170" t="s">
        <v>545</v>
      </c>
      <c r="C10" s="72"/>
      <c r="D10" s="430"/>
      <c r="E10" s="430"/>
      <c r="F10" s="430"/>
      <c r="G10" s="146"/>
      <c r="H10" s="146"/>
      <c r="I10" s="25"/>
      <c r="J10" s="25"/>
      <c r="K10" s="25"/>
      <c r="L10" s="25"/>
      <c r="M10" s="25"/>
      <c r="N10" s="25"/>
      <c r="O10" s="25"/>
      <c r="P10" s="72"/>
      <c r="Q10" s="72"/>
      <c r="R10" s="72"/>
      <c r="S10" s="72"/>
      <c r="T10" s="72"/>
    </row>
    <row r="11" spans="1:25" ht="18.75" customHeight="1">
      <c r="C11" s="72"/>
      <c r="D11" s="430"/>
      <c r="E11" s="430"/>
      <c r="F11" s="430"/>
      <c r="G11" s="146"/>
      <c r="H11" s="146"/>
      <c r="I11" s="25"/>
      <c r="J11" s="25"/>
      <c r="K11" s="25"/>
      <c r="L11" s="25"/>
      <c r="M11" s="25"/>
      <c r="N11" s="25"/>
      <c r="O11" s="25"/>
      <c r="P11" s="72"/>
      <c r="Q11" s="72"/>
      <c r="R11" s="72"/>
      <c r="S11" s="72"/>
      <c r="T11" s="72"/>
    </row>
    <row r="12" spans="1:25" ht="18.75" customHeight="1">
      <c r="C12" s="72"/>
      <c r="D12" s="44" t="s">
        <v>4</v>
      </c>
      <c r="E12" s="44" t="s">
        <v>634</v>
      </c>
      <c r="F12" s="44" t="s">
        <v>635</v>
      </c>
      <c r="G12" s="25"/>
      <c r="H12" s="25"/>
      <c r="I12" s="25"/>
      <c r="J12" s="25"/>
      <c r="K12" s="25"/>
      <c r="L12" s="25"/>
      <c r="M12" s="25"/>
      <c r="N12" s="25"/>
      <c r="O12" s="25"/>
      <c r="P12" s="72"/>
      <c r="Q12" s="72"/>
      <c r="R12" s="72"/>
      <c r="S12" s="72"/>
      <c r="T12" s="72"/>
    </row>
    <row r="13" spans="1:25" ht="18.75" customHeight="1">
      <c r="C13" s="72"/>
      <c r="D13" s="44" t="e" vm="125">
        <v>#VALUE!</v>
      </c>
      <c r="E13" s="44"/>
      <c r="F13" s="44"/>
      <c r="G13" s="25"/>
      <c r="H13" s="25"/>
      <c r="I13" s="25"/>
      <c r="J13" s="25"/>
      <c r="K13" s="25"/>
      <c r="L13" s="25"/>
      <c r="M13" s="25"/>
      <c r="N13" s="25"/>
      <c r="O13" s="25"/>
      <c r="P13" s="72"/>
      <c r="Q13" s="72"/>
      <c r="R13" s="72"/>
      <c r="S13" s="72"/>
      <c r="T13" s="72"/>
    </row>
    <row r="14" spans="1:25" ht="18.75" customHeight="1">
      <c r="C14" s="72"/>
      <c r="D14" s="44" t="e" vm="126">
        <v>#VALUE!</v>
      </c>
      <c r="E14" s="44"/>
      <c r="F14" s="44"/>
      <c r="G14" s="25"/>
      <c r="H14" s="25"/>
      <c r="I14" s="25"/>
      <c r="J14" s="25"/>
      <c r="K14" s="25"/>
      <c r="L14" s="25"/>
      <c r="M14" s="25"/>
      <c r="N14" s="25"/>
      <c r="O14" s="25"/>
      <c r="P14" s="72"/>
      <c r="Q14" s="72"/>
      <c r="R14" s="72"/>
      <c r="S14" s="72"/>
      <c r="T14" s="72"/>
    </row>
    <row r="15" spans="1:25" ht="18.75" customHeight="1">
      <c r="C15" s="72"/>
      <c r="D15" s="44" t="e" vm="127">
        <v>#VALUE!</v>
      </c>
      <c r="E15" s="44"/>
      <c r="F15" s="44"/>
      <c r="G15" s="25"/>
      <c r="H15" s="25"/>
      <c r="I15" s="25"/>
      <c r="J15" s="25"/>
      <c r="K15" s="25"/>
      <c r="L15" s="25"/>
      <c r="M15" s="25"/>
      <c r="N15" s="25"/>
      <c r="O15" s="25"/>
      <c r="P15" s="72"/>
      <c r="Q15" s="72"/>
      <c r="R15" s="72"/>
      <c r="S15" s="72"/>
      <c r="T15" s="72"/>
    </row>
    <row r="16" spans="1:25" ht="18.75" customHeight="1">
      <c r="C16" s="72"/>
      <c r="D16" s="44" t="e" vm="128">
        <v>#VALUE!</v>
      </c>
      <c r="E16" s="44"/>
      <c r="F16" s="44"/>
      <c r="G16" s="25"/>
      <c r="H16" s="25"/>
      <c r="I16" s="25"/>
      <c r="J16" s="25"/>
      <c r="K16" s="25"/>
      <c r="L16" s="25"/>
      <c r="M16" s="25"/>
      <c r="N16" s="25"/>
      <c r="O16" s="25"/>
      <c r="P16" s="72"/>
      <c r="Q16" s="72"/>
      <c r="R16" s="72"/>
      <c r="S16" s="72"/>
      <c r="T16" s="72"/>
    </row>
    <row r="17" spans="1:20" ht="18.75" customHeight="1">
      <c r="C17" s="72"/>
      <c r="D17" s="44" t="e" vm="129">
        <v>#VALUE!</v>
      </c>
      <c r="E17" s="44"/>
      <c r="F17" s="44"/>
      <c r="G17" s="25"/>
      <c r="H17" s="25"/>
      <c r="I17" s="25"/>
      <c r="J17" s="25"/>
      <c r="K17" s="25"/>
      <c r="L17" s="25"/>
      <c r="M17" s="25"/>
      <c r="N17" s="25"/>
      <c r="O17" s="25"/>
      <c r="P17" s="72"/>
      <c r="Q17" s="72"/>
      <c r="R17" s="72"/>
      <c r="S17" s="72"/>
      <c r="T17" s="72"/>
    </row>
    <row r="18" spans="1:20" ht="18.75" customHeight="1">
      <c r="C18" s="72"/>
      <c r="D18" s="44" t="e" vm="130">
        <v>#VALUE!</v>
      </c>
      <c r="E18" s="44"/>
      <c r="F18" s="44"/>
      <c r="G18" s="25"/>
      <c r="H18" s="25"/>
      <c r="I18" s="25"/>
      <c r="J18" s="25"/>
      <c r="K18" s="25"/>
      <c r="L18" s="25"/>
      <c r="M18" s="25"/>
      <c r="N18" s="25"/>
      <c r="O18" s="25"/>
      <c r="P18" s="72"/>
      <c r="Q18" s="72"/>
      <c r="R18" s="72"/>
      <c r="S18" s="72"/>
      <c r="T18" s="72"/>
    </row>
    <row r="19" spans="1:20" ht="18.75" customHeight="1">
      <c r="C19" s="72"/>
      <c r="D19" s="44" t="e" vm="131">
        <v>#VALUE!</v>
      </c>
      <c r="E19" s="44"/>
      <c r="F19" s="44"/>
      <c r="G19" s="25"/>
      <c r="H19" s="25"/>
      <c r="I19" s="25"/>
      <c r="J19" s="25"/>
      <c r="K19" s="25"/>
      <c r="L19" s="25"/>
      <c r="M19" s="25"/>
      <c r="N19" s="25"/>
      <c r="O19" s="25"/>
      <c r="P19" s="72"/>
      <c r="Q19" s="72"/>
      <c r="R19" s="72"/>
      <c r="S19" s="72"/>
      <c r="T19" s="72"/>
    </row>
    <row r="20" spans="1:20" ht="18.75" customHeight="1">
      <c r="C20" s="72"/>
      <c r="D20" s="44" t="e" vm="132">
        <v>#VALUE!</v>
      </c>
      <c r="E20" s="44"/>
      <c r="F20" s="44"/>
      <c r="G20" s="25"/>
      <c r="H20" s="25"/>
      <c r="I20" s="25"/>
      <c r="J20" s="25"/>
      <c r="K20" s="25"/>
      <c r="L20" s="25"/>
      <c r="M20" s="25"/>
      <c r="N20" s="25"/>
      <c r="O20" s="25"/>
      <c r="P20" s="72"/>
      <c r="Q20" s="72"/>
      <c r="R20" s="72"/>
      <c r="S20" s="72"/>
      <c r="T20" s="72"/>
    </row>
    <row r="21" spans="1:20" ht="12" customHeight="1">
      <c r="C21" s="72"/>
      <c r="D21" s="72"/>
      <c r="E21" s="72"/>
      <c r="F21" s="72"/>
      <c r="G21" s="72"/>
      <c r="H21" s="72"/>
      <c r="I21" s="25"/>
      <c r="J21" s="25"/>
      <c r="K21" s="25"/>
      <c r="L21" s="25"/>
      <c r="M21" s="25"/>
      <c r="N21" s="25"/>
      <c r="O21" s="25"/>
      <c r="P21" s="72"/>
      <c r="Q21" s="72"/>
      <c r="R21" s="72"/>
      <c r="S21" s="72"/>
      <c r="T21" s="72"/>
    </row>
    <row r="22" spans="1:20" ht="12" customHeight="1" thickBot="1">
      <c r="A22" s="45"/>
      <c r="B22" s="45"/>
      <c r="C22" s="130"/>
      <c r="D22" s="130"/>
      <c r="E22" s="130"/>
      <c r="F22" s="130"/>
      <c r="G22" s="130"/>
      <c r="H22" s="130"/>
      <c r="I22" s="130"/>
      <c r="J22" s="130"/>
      <c r="K22" s="130"/>
      <c r="L22" s="130"/>
      <c r="M22" s="45"/>
      <c r="N22" s="130"/>
      <c r="O22" s="130"/>
      <c r="P22" s="130"/>
      <c r="Q22" s="130"/>
      <c r="R22" s="130"/>
      <c r="S22" s="130"/>
      <c r="T22" s="130"/>
    </row>
    <row r="23" spans="1:20" ht="30" customHeight="1">
      <c r="A23" s="80"/>
      <c r="B23" s="80"/>
      <c r="C23" s="25"/>
      <c r="D23" s="143" t="s">
        <v>585</v>
      </c>
      <c r="E23" s="25"/>
      <c r="F23" s="25"/>
      <c r="G23" s="25"/>
      <c r="H23" s="25"/>
      <c r="I23" s="25"/>
      <c r="J23" s="25"/>
      <c r="K23" s="25"/>
      <c r="L23" s="131"/>
      <c r="N23" s="72"/>
      <c r="O23" s="214" t="s">
        <v>586</v>
      </c>
      <c r="P23" s="214"/>
      <c r="Q23" s="214"/>
      <c r="R23" s="25"/>
      <c r="S23" s="25"/>
      <c r="T23" s="25"/>
    </row>
    <row r="24" spans="1:20" ht="18.75" customHeight="1">
      <c r="C24" s="72"/>
      <c r="D24" s="215" t="s">
        <v>647</v>
      </c>
      <c r="E24" s="215"/>
      <c r="F24" s="215"/>
      <c r="G24" s="144"/>
      <c r="H24" s="144"/>
      <c r="I24" s="25"/>
      <c r="J24" s="25"/>
      <c r="K24" s="25"/>
      <c r="L24" s="25"/>
      <c r="N24" s="72"/>
      <c r="O24" s="72"/>
      <c r="P24" s="72"/>
      <c r="Q24" s="72"/>
      <c r="R24" s="72"/>
      <c r="S24" s="72"/>
      <c r="T24" s="72"/>
    </row>
    <row r="25" spans="1:20" ht="18.75" customHeight="1">
      <c r="C25" s="72"/>
      <c r="D25" s="215"/>
      <c r="E25" s="215"/>
      <c r="F25" s="215"/>
      <c r="G25" s="144"/>
      <c r="H25" s="144"/>
      <c r="I25" s="25"/>
      <c r="J25" s="25"/>
      <c r="K25" s="25"/>
      <c r="L25" s="25"/>
      <c r="N25" s="72"/>
      <c r="O25" s="72"/>
      <c r="P25" s="72"/>
      <c r="Q25" s="72"/>
      <c r="R25" s="72"/>
      <c r="S25" s="72"/>
      <c r="T25" s="72"/>
    </row>
    <row r="26" spans="1:20" ht="3.75" customHeight="1" thickBot="1">
      <c r="C26" s="72"/>
      <c r="D26" s="144"/>
      <c r="E26" s="144"/>
      <c r="F26" s="144"/>
      <c r="G26" s="144"/>
      <c r="H26" s="144"/>
      <c r="I26" s="25"/>
      <c r="J26" s="25"/>
      <c r="K26" s="25"/>
      <c r="L26" s="25"/>
      <c r="N26" s="72"/>
      <c r="O26" s="72"/>
      <c r="P26" s="72"/>
      <c r="Q26" s="72"/>
      <c r="R26" s="72"/>
      <c r="S26" s="72"/>
      <c r="T26" s="72"/>
    </row>
    <row r="27" spans="1:20" ht="18.75" customHeight="1">
      <c r="C27" s="72"/>
      <c r="D27" s="421"/>
      <c r="E27" s="422"/>
      <c r="F27" s="422"/>
      <c r="G27" s="422"/>
      <c r="H27" s="422"/>
      <c r="I27" s="422"/>
      <c r="J27" s="422"/>
      <c r="K27" s="423"/>
      <c r="L27" s="25"/>
      <c r="N27" s="72"/>
      <c r="O27" s="72"/>
      <c r="P27" s="72"/>
      <c r="Q27" s="72"/>
      <c r="R27" s="72"/>
      <c r="S27" s="72"/>
      <c r="T27" s="72"/>
    </row>
    <row r="28" spans="1:20" ht="18.75" customHeight="1">
      <c r="C28" s="72"/>
      <c r="D28" s="424"/>
      <c r="E28" s="425"/>
      <c r="F28" s="425"/>
      <c r="G28" s="425"/>
      <c r="H28" s="425"/>
      <c r="I28" s="425"/>
      <c r="J28" s="425"/>
      <c r="K28" s="426"/>
      <c r="L28" s="25"/>
      <c r="N28" s="72"/>
      <c r="O28" s="72"/>
      <c r="P28" s="72"/>
      <c r="Q28" s="72"/>
      <c r="R28" s="72"/>
      <c r="S28" s="72"/>
      <c r="T28" s="72"/>
    </row>
    <row r="29" spans="1:20" ht="18.75" customHeight="1">
      <c r="C29" s="72"/>
      <c r="D29" s="424"/>
      <c r="E29" s="425"/>
      <c r="F29" s="425"/>
      <c r="G29" s="425"/>
      <c r="H29" s="425"/>
      <c r="I29" s="425"/>
      <c r="J29" s="425"/>
      <c r="K29" s="426"/>
      <c r="L29" s="25"/>
      <c r="N29" s="72"/>
      <c r="O29" s="72"/>
      <c r="P29" s="72"/>
      <c r="Q29" s="72"/>
      <c r="R29" s="72"/>
      <c r="S29" s="72"/>
      <c r="T29" s="72"/>
    </row>
    <row r="30" spans="1:20" ht="18.75" customHeight="1">
      <c r="C30" s="72"/>
      <c r="D30" s="424"/>
      <c r="E30" s="425"/>
      <c r="F30" s="425"/>
      <c r="G30" s="425"/>
      <c r="H30" s="425"/>
      <c r="I30" s="425"/>
      <c r="J30" s="425"/>
      <c r="K30" s="426"/>
      <c r="L30" s="25"/>
      <c r="N30" s="72"/>
      <c r="O30" s="72"/>
      <c r="P30" s="72"/>
      <c r="Q30" s="72"/>
      <c r="R30" s="72"/>
      <c r="S30" s="72"/>
      <c r="T30" s="72"/>
    </row>
    <row r="31" spans="1:20" ht="18.75" customHeight="1">
      <c r="C31" s="72"/>
      <c r="D31" s="424"/>
      <c r="E31" s="425"/>
      <c r="F31" s="425"/>
      <c r="G31" s="425"/>
      <c r="H31" s="425"/>
      <c r="I31" s="425"/>
      <c r="J31" s="425"/>
      <c r="K31" s="426"/>
      <c r="L31" s="25"/>
      <c r="N31" s="72"/>
      <c r="O31" s="72"/>
      <c r="P31" s="72"/>
      <c r="Q31" s="72"/>
      <c r="R31" s="72"/>
      <c r="S31" s="72"/>
      <c r="T31" s="72"/>
    </row>
    <row r="32" spans="1:20" ht="18.75" customHeight="1">
      <c r="C32" s="72"/>
      <c r="D32" s="424"/>
      <c r="E32" s="425"/>
      <c r="F32" s="425"/>
      <c r="G32" s="425"/>
      <c r="H32" s="425"/>
      <c r="I32" s="425"/>
      <c r="J32" s="425"/>
      <c r="K32" s="426"/>
      <c r="L32" s="25"/>
      <c r="N32" s="72"/>
      <c r="O32" s="72"/>
      <c r="P32" s="72"/>
      <c r="Q32" s="72"/>
      <c r="R32" s="72"/>
      <c r="S32" s="72"/>
      <c r="T32" s="72"/>
    </row>
    <row r="33" spans="3:20" ht="18.75" customHeight="1">
      <c r="C33" s="72"/>
      <c r="D33" s="424"/>
      <c r="E33" s="425"/>
      <c r="F33" s="425"/>
      <c r="G33" s="425"/>
      <c r="H33" s="425"/>
      <c r="I33" s="425"/>
      <c r="J33" s="425"/>
      <c r="K33" s="426"/>
      <c r="L33" s="25"/>
      <c r="N33" s="72"/>
      <c r="O33" s="72"/>
      <c r="P33" s="72"/>
      <c r="Q33" s="72"/>
      <c r="R33" s="72"/>
      <c r="S33" s="72"/>
      <c r="T33" s="72"/>
    </row>
    <row r="34" spans="3:20" ht="18.75" customHeight="1">
      <c r="C34" s="72"/>
      <c r="D34" s="424"/>
      <c r="E34" s="425"/>
      <c r="F34" s="425"/>
      <c r="G34" s="425"/>
      <c r="H34" s="425"/>
      <c r="I34" s="425"/>
      <c r="J34" s="425"/>
      <c r="K34" s="426"/>
      <c r="L34" s="25"/>
      <c r="N34" s="72"/>
      <c r="O34" s="72"/>
      <c r="P34" s="72"/>
      <c r="Q34" s="72"/>
      <c r="R34" s="72"/>
      <c r="S34" s="72"/>
      <c r="T34" s="72"/>
    </row>
    <row r="35" spans="3:20" ht="11.25" customHeight="1" thickBot="1">
      <c r="C35" s="72"/>
      <c r="D35" s="424"/>
      <c r="E35" s="425"/>
      <c r="F35" s="425"/>
      <c r="G35" s="425"/>
      <c r="H35" s="425"/>
      <c r="I35" s="425"/>
      <c r="J35" s="425"/>
      <c r="K35" s="426"/>
      <c r="L35" s="25"/>
    </row>
    <row r="36" spans="3:20" ht="11.25" customHeight="1" thickBot="1">
      <c r="C36" s="72"/>
      <c r="D36" s="427"/>
      <c r="E36" s="428"/>
      <c r="F36" s="428"/>
      <c r="G36" s="428"/>
      <c r="H36" s="428"/>
      <c r="I36" s="428"/>
      <c r="J36" s="428"/>
      <c r="K36" s="429"/>
      <c r="L36" s="25"/>
      <c r="M36" s="125"/>
      <c r="N36" s="432" t="s">
        <v>530</v>
      </c>
      <c r="O36" s="433"/>
      <c r="P36" s="434"/>
      <c r="Q36" s="133"/>
      <c r="R36" s="431" t="s">
        <v>488</v>
      </c>
      <c r="S36" s="431"/>
      <c r="T36" s="431"/>
    </row>
    <row r="37" spans="3:20" ht="12" customHeight="1" thickBot="1">
      <c r="C37" s="72"/>
      <c r="D37" s="72"/>
      <c r="E37" s="72"/>
      <c r="F37" s="72"/>
      <c r="G37" s="72"/>
      <c r="H37" s="72"/>
      <c r="I37" s="25"/>
      <c r="J37" s="25"/>
      <c r="K37" s="25"/>
      <c r="L37" s="25"/>
      <c r="M37" s="125"/>
      <c r="N37" s="435"/>
      <c r="O37" s="436"/>
      <c r="P37" s="437"/>
      <c r="Q37" s="133"/>
      <c r="R37" s="431"/>
      <c r="S37" s="431"/>
      <c r="T37" s="431"/>
    </row>
  </sheetData>
  <mergeCells count="9">
    <mergeCell ref="D27:K36"/>
    <mergeCell ref="C2:T2"/>
    <mergeCell ref="C3:T4"/>
    <mergeCell ref="O23:Q23"/>
    <mergeCell ref="D24:F25"/>
    <mergeCell ref="D9:F11"/>
    <mergeCell ref="D6:M6"/>
    <mergeCell ref="R36:T37"/>
    <mergeCell ref="N36:P37"/>
  </mergeCells>
  <hyperlinks>
    <hyperlink ref="N36:P37" location="NavCell_P5" display="Previous page" xr:uid="{E6F87178-FDED-44F6-B370-A20C690166BF}"/>
    <hyperlink ref="R36:T37" location="NavCell_P0_4" display="Next page" xr:uid="{472676C8-032F-454C-B6AA-CE050D6BD02C}"/>
  </hyperlinks>
  <pageMargins left="0.7" right="0.7" top="0.75" bottom="0.75" header="0.3" footer="0.3"/>
  <pageSetup orientation="portrait" verticalDpi="300" r:id="rId1"/>
  <drawing r:id="rId2"/>
  <tableParts count="1">
    <tablePart r:id="rId3"/>
  </tableParts>
  <extLst>
    <ext xmlns:x14="http://schemas.microsoft.com/office/spreadsheetml/2009/9/main" uri="{CCE6A557-97BC-4b89-ADB6-D9C93CAAB3DF}">
      <x14:dataValidations xmlns:xm="http://schemas.microsoft.com/office/excel/2006/main" count="1">
        <x14:dataValidation type="list" allowBlank="1" showInputMessage="1" showErrorMessage="1" xr:uid="{D2C84334-2E0F-46CA-BBFD-EBE45D9096FD}">
          <x14:formula1>
            <xm:f>Backend_P3!$C$3:$C$7</xm:f>
          </x14:formula1>
          <xm:sqref>D8</xm:sqref>
        </x14:dataValidation>
      </x14:dataValidations>
    </ext>
  </extLst>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9B2517-DB4C-4C9A-8A9C-D38F8269211F}">
  <sheetPr codeName="Sheet20">
    <tabColor theme="6" tint="0.79998168889431442"/>
  </sheetPr>
  <dimension ref="A1:G32"/>
  <sheetViews>
    <sheetView showGridLines="0" zoomScaleNormal="100" workbookViewId="0"/>
  </sheetViews>
  <sheetFormatPr defaultColWidth="0" defaultRowHeight="18.75" customHeight="1" zeroHeight="1"/>
  <cols>
    <col min="1" max="1" width="0.25" style="74" customWidth="1"/>
    <col min="2" max="2" width="5.25" style="74" customWidth="1"/>
    <col min="3" max="3" width="5.625" style="2" customWidth="1"/>
    <col min="4" max="4" width="59.375" style="2" customWidth="1"/>
    <col min="5" max="6" width="5.625" style="2" customWidth="1"/>
    <col min="7" max="7" width="0" style="2" hidden="1" customWidth="1"/>
    <col min="8" max="16384" width="9" style="2" hidden="1"/>
  </cols>
  <sheetData>
    <row r="1" spans="1:7" s="74" customFormat="1" ht="18.75" customHeight="1">
      <c r="A1" s="161" t="s">
        <v>511</v>
      </c>
      <c r="B1" s="2"/>
      <c r="C1" s="2"/>
      <c r="D1" s="2"/>
      <c r="E1" s="2"/>
      <c r="F1" s="2"/>
      <c r="G1" s="2"/>
    </row>
    <row r="2" spans="1:7" ht="33.75" customHeight="1">
      <c r="A2" s="161" t="s">
        <v>648</v>
      </c>
      <c r="B2" s="2"/>
      <c r="C2" s="16"/>
      <c r="D2" s="175" t="str">
        <f ca="1">Backend_Badge!U9</f>
        <v>Keep working!</v>
      </c>
      <c r="E2" s="50"/>
    </row>
    <row r="3" spans="1:7" ht="3.75" customHeight="1">
      <c r="A3" s="161" t="s">
        <v>649</v>
      </c>
      <c r="B3" s="2"/>
      <c r="C3" s="17"/>
      <c r="D3" s="178"/>
      <c r="E3" s="18"/>
    </row>
    <row r="4" spans="1:7" ht="22.5" customHeight="1">
      <c r="A4" s="170" t="s">
        <v>545</v>
      </c>
      <c r="B4" s="2"/>
      <c r="C4" s="17"/>
      <c r="D4" s="180">
        <v>0</v>
      </c>
      <c r="E4" s="18"/>
    </row>
    <row r="5" spans="1:7" ht="3.75" customHeight="1">
      <c r="A5" s="170"/>
      <c r="B5" s="2"/>
      <c r="C5" s="17"/>
      <c r="D5" s="177"/>
      <c r="E5" s="18"/>
    </row>
    <row r="6" spans="1:7" ht="7.5" customHeight="1">
      <c r="A6" s="170"/>
      <c r="B6" s="2"/>
      <c r="C6" s="17"/>
      <c r="D6" s="72"/>
      <c r="E6" s="18"/>
    </row>
    <row r="7" spans="1:7" ht="26.25" customHeight="1">
      <c r="A7" s="161"/>
      <c r="B7" s="2"/>
      <c r="C7" s="17"/>
      <c r="D7" s="438" t="str">
        <f ca="1">Backend_Badge!U10</f>
        <v>Keep answering questions and completing reflections.</v>
      </c>
      <c r="E7" s="18"/>
    </row>
    <row r="8" spans="1:7" ht="18.75" customHeight="1">
      <c r="A8" s="161"/>
      <c r="B8" s="2"/>
      <c r="C8" s="17"/>
      <c r="D8" s="438"/>
      <c r="E8" s="18"/>
    </row>
    <row r="9" spans="1:7" ht="18.75" customHeight="1">
      <c r="A9" s="161"/>
      <c r="B9" s="2"/>
      <c r="C9" s="17"/>
      <c r="D9" s="72"/>
      <c r="E9" s="18"/>
    </row>
    <row r="10" spans="1:7" ht="18.75" customHeight="1">
      <c r="A10" s="2"/>
      <c r="B10" s="2"/>
      <c r="C10" s="17"/>
      <c r="D10" s="72"/>
      <c r="E10" s="18"/>
    </row>
    <row r="11" spans="1:7" ht="18.75" customHeight="1">
      <c r="A11" s="2"/>
      <c r="B11" s="2"/>
      <c r="C11" s="17"/>
      <c r="D11" s="72"/>
      <c r="E11" s="18"/>
    </row>
    <row r="12" spans="1:7" ht="18.75" customHeight="1">
      <c r="A12" s="2"/>
      <c r="B12" s="2"/>
      <c r="C12" s="17"/>
      <c r="D12" s="72"/>
      <c r="E12" s="18"/>
    </row>
    <row r="13" spans="1:7" ht="18.75" customHeight="1">
      <c r="A13" s="2"/>
      <c r="B13" s="2"/>
      <c r="C13" s="17"/>
      <c r="D13" s="72"/>
      <c r="E13" s="18"/>
    </row>
    <row r="14" spans="1:7" ht="18.75" customHeight="1">
      <c r="A14" s="2"/>
      <c r="B14" s="2"/>
      <c r="C14" s="17"/>
      <c r="D14" s="72"/>
      <c r="E14" s="18"/>
    </row>
    <row r="15" spans="1:7" ht="18.75" customHeight="1">
      <c r="A15" s="2"/>
      <c r="B15" s="2"/>
      <c r="C15" s="17"/>
      <c r="D15" s="72"/>
      <c r="E15" s="18"/>
    </row>
    <row r="16" spans="1:7" ht="18.75" customHeight="1">
      <c r="A16" s="2"/>
      <c r="B16" s="2"/>
      <c r="C16" s="17"/>
      <c r="D16" s="72"/>
      <c r="E16" s="18"/>
    </row>
    <row r="17" spans="1:5" ht="18.75" customHeight="1">
      <c r="A17" s="2"/>
      <c r="B17" s="2"/>
      <c r="C17" s="17"/>
      <c r="D17" s="72"/>
      <c r="E17" s="18"/>
    </row>
    <row r="18" spans="1:5" ht="18.75" customHeight="1">
      <c r="A18" s="2"/>
      <c r="B18" s="2"/>
      <c r="C18" s="17"/>
      <c r="D18" s="72"/>
      <c r="E18" s="18"/>
    </row>
    <row r="19" spans="1:5" ht="18.75" customHeight="1">
      <c r="A19" s="2"/>
      <c r="B19" s="2"/>
      <c r="C19" s="17"/>
      <c r="D19" s="72"/>
      <c r="E19" s="18"/>
    </row>
    <row r="20" spans="1:5" ht="18.75" customHeight="1">
      <c r="A20" s="2"/>
      <c r="B20" s="2"/>
      <c r="C20" s="17"/>
      <c r="D20" s="72"/>
      <c r="E20" s="18"/>
    </row>
    <row r="21" spans="1:5" ht="18.75" customHeight="1">
      <c r="A21" s="2"/>
      <c r="B21" s="2"/>
      <c r="C21" s="17"/>
      <c r="D21" s="72"/>
      <c r="E21" s="18"/>
    </row>
    <row r="22" spans="1:5" ht="18.75" customHeight="1">
      <c r="A22" s="2"/>
      <c r="B22" s="2"/>
      <c r="C22" s="17"/>
      <c r="D22" s="72"/>
      <c r="E22" s="18"/>
    </row>
    <row r="23" spans="1:5" ht="18.75" customHeight="1">
      <c r="A23" s="2"/>
      <c r="B23" s="2"/>
      <c r="C23" s="17"/>
      <c r="D23" s="72"/>
      <c r="E23" s="18"/>
    </row>
    <row r="24" spans="1:5" ht="18.75" customHeight="1">
      <c r="A24" s="2"/>
      <c r="B24" s="2"/>
      <c r="C24" s="17"/>
      <c r="D24" s="72"/>
      <c r="E24" s="18"/>
    </row>
    <row r="25" spans="1:5" ht="18.75" customHeight="1">
      <c r="A25" s="2"/>
      <c r="B25" s="2"/>
      <c r="C25" s="17"/>
      <c r="D25" s="72"/>
      <c r="E25" s="18"/>
    </row>
    <row r="26" spans="1:5" ht="18.75" customHeight="1">
      <c r="A26" s="2"/>
      <c r="B26" s="2"/>
      <c r="C26" s="17"/>
      <c r="D26" s="72"/>
      <c r="E26" s="18"/>
    </row>
    <row r="27" spans="1:5" ht="18.75" customHeight="1">
      <c r="A27" s="2"/>
      <c r="B27" s="2"/>
      <c r="C27" s="17"/>
      <c r="D27" s="72"/>
      <c r="E27" s="18"/>
    </row>
    <row r="28" spans="1:5" ht="18.75" customHeight="1">
      <c r="A28" s="2"/>
      <c r="B28" s="2"/>
      <c r="C28" s="19"/>
      <c r="D28" s="51"/>
      <c r="E28" s="20"/>
    </row>
    <row r="29" spans="1:5" ht="18.75" customHeight="1">
      <c r="A29" s="2"/>
      <c r="B29" s="2"/>
    </row>
    <row r="30" spans="1:5" ht="18.75" customHeight="1">
      <c r="A30" s="2"/>
      <c r="B30" s="2"/>
    </row>
    <row r="31" spans="1:5" ht="18.75" hidden="1" customHeight="1">
      <c r="A31" s="2"/>
      <c r="B31" s="2"/>
    </row>
    <row r="32" spans="1:5" ht="18.75" hidden="1" customHeight="1">
      <c r="A32" s="2"/>
      <c r="B32" s="2"/>
    </row>
  </sheetData>
  <mergeCells count="1">
    <mergeCell ref="D7:D8"/>
  </mergeCells>
  <pageMargins left="0.7" right="0.7" top="0.75" bottom="0.75" header="0.3" footer="0.3"/>
  <pageSetup orientation="portrait" verticalDpi="300" r:id="rId1"/>
  <drawing r:id="rId2"/>
  <extLst>
    <ext xmlns:x14="http://schemas.microsoft.com/office/spreadsheetml/2009/9/main" uri="{78C0D931-6437-407d-A8EE-F0AAD7539E65}">
      <x14:conditionalFormattings>
        <x14:conditionalFormatting xmlns:xm="http://schemas.microsoft.com/office/excel/2006/main">
          <x14:cfRule type="expression" priority="7" id="{B54D21F4-BF1F-421C-AB94-D9F47D6E91E2}">
            <xm:f>Backend_Badge!$T$9=0</xm:f>
            <x14:dxf>
              <font>
                <color theme="3"/>
              </font>
              <fill>
                <patternFill>
                  <bgColor theme="2"/>
                </patternFill>
              </fill>
            </x14:dxf>
          </x14:cfRule>
          <xm:sqref>C2:E7 C9:E28 C8 E8</xm:sqref>
        </x14:conditionalFormatting>
        <x14:conditionalFormatting xmlns:xm="http://schemas.microsoft.com/office/excel/2006/main">
          <x14:cfRule type="expression" priority="1" stopIfTrue="1" id="{03366902-C261-4560-B8E6-81E21E2C7DE2}">
            <xm:f>Backend_Badge!$V$7=1</xm:f>
            <x14:dxf>
              <font>
                <b val="0"/>
                <i/>
              </font>
              <fill>
                <patternFill>
                  <bgColor theme="8" tint="0.79998168889431442"/>
                </patternFill>
              </fill>
            </x14:dxf>
          </x14:cfRule>
          <x14:cfRule type="expression" priority="2" stopIfTrue="1" id="{17004FEA-2E5F-4469-9081-77AB30C47EFB}">
            <xm:f>Backend_Badge!$V$7=2</xm:f>
            <x14:dxf>
              <fill>
                <patternFill>
                  <bgColor theme="0"/>
                </patternFill>
              </fill>
            </x14:dxf>
          </x14:cfRule>
          <x14:cfRule type="expression" priority="3" stopIfTrue="1" id="{FFCB0C44-943A-4769-A8C5-0A74DD81AAEC}">
            <xm:f>Backend_Badge!$V$7=3</xm:f>
            <x14:dxf>
              <font>
                <b val="0"/>
                <i/>
                <color theme="2"/>
              </font>
              <fill>
                <patternFill>
                  <bgColor theme="2"/>
                </patternFill>
              </fill>
            </x14:dxf>
          </x14:cfRule>
          <xm:sqref>D4</xm:sqref>
        </x14:conditionalFormatting>
      </x14:conditionalFormattings>
    </ext>
  </extLst>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109068-B103-42D8-A335-661D9F1585FA}">
  <sheetPr codeName="Sheet16">
    <tabColor theme="6" tint="0.79998168889431442"/>
  </sheetPr>
  <dimension ref="A1:M36"/>
  <sheetViews>
    <sheetView workbookViewId="0"/>
  </sheetViews>
  <sheetFormatPr defaultColWidth="0" defaultRowHeight="14.45" zeroHeight="1"/>
  <cols>
    <col min="1" max="1" width="0.25" style="2" customWidth="1"/>
    <col min="2" max="2" width="1.625" style="2" customWidth="1"/>
    <col min="3" max="3" width="9" style="2" customWidth="1"/>
    <col min="4" max="4" width="25" style="2" customWidth="1"/>
    <col min="5" max="9" width="9" style="2" customWidth="1"/>
    <col min="10" max="10" width="1.875" style="2" customWidth="1"/>
    <col min="11" max="13" width="1.875" style="2" hidden="1" customWidth="1"/>
    <col min="14" max="16384" width="9" style="2" hidden="1"/>
  </cols>
  <sheetData>
    <row r="1" spans="1:10" ht="11.25" customHeight="1">
      <c r="A1" s="161" t="s">
        <v>650</v>
      </c>
    </row>
    <row r="2" spans="1:10" ht="22.5" customHeight="1">
      <c r="A2" s="161" t="s">
        <v>651</v>
      </c>
      <c r="C2" s="472" t="s">
        <v>652</v>
      </c>
      <c r="D2" s="472"/>
      <c r="E2" s="472"/>
      <c r="F2" s="472"/>
      <c r="G2" s="472"/>
      <c r="H2" s="472"/>
      <c r="I2" s="472"/>
      <c r="J2" s="472"/>
    </row>
    <row r="3" spans="1:10" ht="11.25" customHeight="1">
      <c r="A3" s="161" t="s">
        <v>653</v>
      </c>
      <c r="C3" s="48"/>
    </row>
    <row r="4" spans="1:10" ht="18.75" customHeight="1" thickBot="1">
      <c r="A4" s="161" t="s">
        <v>654</v>
      </c>
      <c r="C4" s="2" t="s">
        <v>108</v>
      </c>
    </row>
    <row r="5" spans="1:10" ht="18.75" customHeight="1" thickBot="1">
      <c r="A5" s="170" t="s">
        <v>545</v>
      </c>
      <c r="C5" s="2" t="s">
        <v>655</v>
      </c>
      <c r="D5" s="49"/>
    </row>
    <row r="6" spans="1:10" ht="18.75" customHeight="1" thickBot="1">
      <c r="C6" s="2" t="s">
        <v>24</v>
      </c>
      <c r="D6" s="49"/>
    </row>
    <row r="7" spans="1:10" ht="11.25" customHeight="1"/>
    <row r="8" spans="1:10" ht="75" customHeight="1">
      <c r="C8" s="447" t="s">
        <v>656</v>
      </c>
      <c r="D8" s="447"/>
      <c r="E8" s="447"/>
      <c r="F8" s="447"/>
      <c r="G8" s="447"/>
      <c r="H8" s="447"/>
      <c r="I8" s="447"/>
    </row>
    <row r="9" spans="1:10" ht="11.25" customHeight="1"/>
    <row r="10" spans="1:10" ht="18.75" customHeight="1" thickBot="1">
      <c r="C10" s="449" t="s">
        <v>657</v>
      </c>
      <c r="D10" s="449"/>
      <c r="E10" s="449"/>
      <c r="F10" s="449"/>
      <c r="G10" s="449"/>
      <c r="H10" s="449"/>
      <c r="I10" s="449"/>
    </row>
    <row r="11" spans="1:10" ht="18" customHeight="1">
      <c r="C11" s="439" t="str">
        <f>IF(Reflection_P1=0,"",Reflection_P1)</f>
        <v/>
      </c>
      <c r="D11" s="440"/>
      <c r="E11" s="440"/>
      <c r="F11" s="440"/>
      <c r="G11" s="440"/>
      <c r="H11" s="440"/>
      <c r="I11" s="441"/>
    </row>
    <row r="12" spans="1:10" ht="18" customHeight="1">
      <c r="C12" s="442"/>
      <c r="D12" s="334"/>
      <c r="E12" s="334"/>
      <c r="F12" s="334"/>
      <c r="G12" s="334"/>
      <c r="H12" s="334"/>
      <c r="I12" s="443"/>
    </row>
    <row r="13" spans="1:10" ht="18" customHeight="1">
      <c r="C13" s="442"/>
      <c r="D13" s="334"/>
      <c r="E13" s="334"/>
      <c r="F13" s="334"/>
      <c r="G13" s="334"/>
      <c r="H13" s="334"/>
      <c r="I13" s="443"/>
    </row>
    <row r="14" spans="1:10" ht="18" customHeight="1">
      <c r="C14" s="442"/>
      <c r="D14" s="334"/>
      <c r="E14" s="334"/>
      <c r="F14" s="334"/>
      <c r="G14" s="334"/>
      <c r="H14" s="334"/>
      <c r="I14" s="443"/>
    </row>
    <row r="15" spans="1:10" ht="18" customHeight="1">
      <c r="C15" s="442"/>
      <c r="D15" s="334"/>
      <c r="E15" s="334"/>
      <c r="F15" s="334"/>
      <c r="G15" s="334"/>
      <c r="H15" s="334"/>
      <c r="I15" s="443"/>
    </row>
    <row r="16" spans="1:10" ht="18" customHeight="1">
      <c r="C16" s="442"/>
      <c r="D16" s="334"/>
      <c r="E16" s="334"/>
      <c r="F16" s="334"/>
      <c r="G16" s="334"/>
      <c r="H16" s="334"/>
      <c r="I16" s="443"/>
    </row>
    <row r="17" spans="3:9" ht="18" customHeight="1" thickBot="1">
      <c r="C17" s="444"/>
      <c r="D17" s="445"/>
      <c r="E17" s="445"/>
      <c r="F17" s="445"/>
      <c r="G17" s="445"/>
      <c r="H17" s="445"/>
      <c r="I17" s="446"/>
    </row>
    <row r="18" spans="3:9" ht="11.25" customHeight="1"/>
    <row r="19" spans="3:9" ht="18.75" customHeight="1" thickBot="1">
      <c r="C19" s="448" t="s">
        <v>658</v>
      </c>
      <c r="D19" s="448"/>
      <c r="E19" s="448"/>
      <c r="F19" s="448"/>
      <c r="G19" s="448"/>
      <c r="H19" s="448"/>
      <c r="I19" s="448"/>
    </row>
    <row r="20" spans="3:9" ht="18" customHeight="1">
      <c r="C20" s="439" t="str">
        <f>IF(Reflection_P2=0,"",Reflection_P2)</f>
        <v/>
      </c>
      <c r="D20" s="440"/>
      <c r="E20" s="440"/>
      <c r="F20" s="440"/>
      <c r="G20" s="440"/>
      <c r="H20" s="440"/>
      <c r="I20" s="441"/>
    </row>
    <row r="21" spans="3:9" ht="18" customHeight="1">
      <c r="C21" s="442"/>
      <c r="D21" s="334"/>
      <c r="E21" s="334"/>
      <c r="F21" s="334"/>
      <c r="G21" s="334"/>
      <c r="H21" s="334"/>
      <c r="I21" s="443"/>
    </row>
    <row r="22" spans="3:9" ht="18" customHeight="1">
      <c r="C22" s="442"/>
      <c r="D22" s="334"/>
      <c r="E22" s="334"/>
      <c r="F22" s="334"/>
      <c r="G22" s="334"/>
      <c r="H22" s="334"/>
      <c r="I22" s="443"/>
    </row>
    <row r="23" spans="3:9" ht="18" customHeight="1">
      <c r="C23" s="442"/>
      <c r="D23" s="334"/>
      <c r="E23" s="334"/>
      <c r="F23" s="334"/>
      <c r="G23" s="334"/>
      <c r="H23" s="334"/>
      <c r="I23" s="443"/>
    </row>
    <row r="24" spans="3:9" ht="18" customHeight="1">
      <c r="C24" s="442"/>
      <c r="D24" s="334"/>
      <c r="E24" s="334"/>
      <c r="F24" s="334"/>
      <c r="G24" s="334"/>
      <c r="H24" s="334"/>
      <c r="I24" s="443"/>
    </row>
    <row r="25" spans="3:9" ht="18" customHeight="1">
      <c r="C25" s="442"/>
      <c r="D25" s="334"/>
      <c r="E25" s="334"/>
      <c r="F25" s="334"/>
      <c r="G25" s="334"/>
      <c r="H25" s="334"/>
      <c r="I25" s="443"/>
    </row>
    <row r="26" spans="3:9" ht="18" customHeight="1" thickBot="1">
      <c r="C26" s="444"/>
      <c r="D26" s="445"/>
      <c r="E26" s="445"/>
      <c r="F26" s="445"/>
      <c r="G26" s="445"/>
      <c r="H26" s="445"/>
      <c r="I26" s="446"/>
    </row>
    <row r="27" spans="3:9" ht="11.25" customHeight="1"/>
    <row r="28" spans="3:9" ht="37.5" customHeight="1" thickBot="1">
      <c r="C28" s="448" t="s">
        <v>659</v>
      </c>
      <c r="D28" s="448"/>
      <c r="E28" s="448"/>
      <c r="F28" s="448"/>
      <c r="G28" s="448"/>
      <c r="H28" s="448"/>
      <c r="I28" s="448"/>
    </row>
    <row r="29" spans="3:9" ht="18" customHeight="1">
      <c r="C29" s="439" t="str">
        <f>IF(Reflection_P3=0,"",Reflection_P3)</f>
        <v/>
      </c>
      <c r="D29" s="440"/>
      <c r="E29" s="440"/>
      <c r="F29" s="440"/>
      <c r="G29" s="440"/>
      <c r="H29" s="440"/>
      <c r="I29" s="441"/>
    </row>
    <row r="30" spans="3:9" ht="18" customHeight="1">
      <c r="C30" s="442"/>
      <c r="D30" s="334"/>
      <c r="E30" s="334"/>
      <c r="F30" s="334"/>
      <c r="G30" s="334"/>
      <c r="H30" s="334"/>
      <c r="I30" s="443"/>
    </row>
    <row r="31" spans="3:9" ht="18" customHeight="1">
      <c r="C31" s="442"/>
      <c r="D31" s="334"/>
      <c r="E31" s="334"/>
      <c r="F31" s="334"/>
      <c r="G31" s="334"/>
      <c r="H31" s="334"/>
      <c r="I31" s="443"/>
    </row>
    <row r="32" spans="3:9" ht="18" customHeight="1">
      <c r="C32" s="442"/>
      <c r="D32" s="334"/>
      <c r="E32" s="334"/>
      <c r="F32" s="334"/>
      <c r="G32" s="334"/>
      <c r="H32" s="334"/>
      <c r="I32" s="443"/>
    </row>
    <row r="33" spans="3:9" ht="18" customHeight="1">
      <c r="C33" s="442"/>
      <c r="D33" s="334"/>
      <c r="E33" s="334"/>
      <c r="F33" s="334"/>
      <c r="G33" s="334"/>
      <c r="H33" s="334"/>
      <c r="I33" s="443"/>
    </row>
    <row r="34" spans="3:9" ht="18" customHeight="1">
      <c r="C34" s="442"/>
      <c r="D34" s="334"/>
      <c r="E34" s="334"/>
      <c r="F34" s="334"/>
      <c r="G34" s="334"/>
      <c r="H34" s="334"/>
      <c r="I34" s="443"/>
    </row>
    <row r="35" spans="3:9" ht="18" customHeight="1" thickBot="1">
      <c r="C35" s="444"/>
      <c r="D35" s="445"/>
      <c r="E35" s="445"/>
      <c r="F35" s="445"/>
      <c r="G35" s="445"/>
      <c r="H35" s="445"/>
      <c r="I35" s="446"/>
    </row>
    <row r="36" spans="3:9" ht="7.5" customHeight="1"/>
  </sheetData>
  <mergeCells count="8">
    <mergeCell ref="C2:J2"/>
    <mergeCell ref="C11:I17"/>
    <mergeCell ref="C20:I26"/>
    <mergeCell ref="C29:I35"/>
    <mergeCell ref="C8:I8"/>
    <mergeCell ref="C19:I19"/>
    <mergeCell ref="C10:I10"/>
    <mergeCell ref="C28:I28"/>
  </mergeCells>
  <pageMargins left="0.7" right="0.7" top="0.75" bottom="0.75" header="0.3" footer="0.3"/>
  <pageSetup orientation="portrait" verticalDpi="300"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183901-27B1-497B-8591-9DD88C21B9FF}">
  <sheetPr codeName="Sheet19">
    <tabColor theme="9" tint="0.79998168889431442"/>
  </sheetPr>
  <dimension ref="B2:AB36"/>
  <sheetViews>
    <sheetView topLeftCell="D1" zoomScale="85" zoomScaleNormal="85" workbookViewId="0">
      <selection activeCell="T10" sqref="T10"/>
    </sheetView>
  </sheetViews>
  <sheetFormatPr defaultColWidth="8.875" defaultRowHeight="16.5"/>
  <cols>
    <col min="4" max="4" width="13.125" customWidth="1"/>
    <col min="6" max="6" width="9.625" bestFit="1" customWidth="1"/>
    <col min="10" max="10" width="9.125" customWidth="1"/>
    <col min="24" max="24" width="10.75" customWidth="1"/>
    <col min="28" max="28" width="10.875" customWidth="1"/>
  </cols>
  <sheetData>
    <row r="2" spans="2:28">
      <c r="B2" t="s">
        <v>660</v>
      </c>
      <c r="C2" t="s">
        <v>661</v>
      </c>
      <c r="D2" t="s">
        <v>662</v>
      </c>
      <c r="E2" t="s">
        <v>663</v>
      </c>
      <c r="F2" t="s">
        <v>664</v>
      </c>
      <c r="H2" t="s">
        <v>665</v>
      </c>
      <c r="I2" t="s">
        <v>660</v>
      </c>
      <c r="J2" t="s">
        <v>661</v>
      </c>
      <c r="K2" t="s">
        <v>666</v>
      </c>
      <c r="L2" t="s">
        <v>667</v>
      </c>
      <c r="M2" t="s">
        <v>668</v>
      </c>
      <c r="N2" t="s">
        <v>669</v>
      </c>
    </row>
    <row r="3" spans="2:28">
      <c r="B3">
        <v>1</v>
      </c>
      <c r="C3" cm="1">
        <f t="array" ref="C3">ROW()-ROW(Tbl_Badge[#Headers])</f>
        <v>1</v>
      </c>
      <c r="D3" t="s">
        <v>670</v>
      </c>
      <c r="E3" cm="1">
        <f t="array" aca="1" ref="E3" ca="1">INDIRECT(Tbl_Badge[[#This Row],[QuestionName]],FALSE)</f>
        <v>0</v>
      </c>
      <c r="F3" t="b" cm="1">
        <f t="array" aca="1" ref="F3" ca="1">IFERROR(_FV(Tbl_Badge[[#This Row],[Entry]],"Identification")="J5",FALSE)</f>
        <v>0</v>
      </c>
      <c r="H3" t="s">
        <v>671</v>
      </c>
      <c r="I3">
        <f>_xlfn.XLOOKUP(Tbl_BadgeQ[[#This Row],[Question]],Tbl_Badge[Question],Tbl_Badge[Page])</f>
        <v>1</v>
      </c>
      <c r="J3">
        <v>1</v>
      </c>
      <c r="K3">
        <f>COUNTIF(Tbl_Badge[Page],Tbl_BadgeQ[[#This Row],[Page]])/COUNTIF(Tbl_Badge[Page],Tbl_BadgeQ[[#This Row],[Page]])</f>
        <v>1</v>
      </c>
      <c r="L3" t="b">
        <v>1</v>
      </c>
      <c r="M3">
        <f ca="1">COUNTIFS(Tbl_Badge[Correct if],Tbl_BadgeQ[[#This Row],[Response]],Tbl_Badge[Question],Tbl_BadgeQ[[#This Row],[Question]])</f>
        <v>0</v>
      </c>
      <c r="N3">
        <f ca="1">Tbl_BadgeQ[[#This Row],[Value]]/Tbl_BadgeQ[[#This Row],[Total count]]</f>
        <v>0</v>
      </c>
    </row>
    <row r="4" spans="2:28">
      <c r="B4">
        <v>1</v>
      </c>
      <c r="C4" cm="1">
        <f t="array" ref="C4">ROW()-ROW(Tbl_Badge[#Headers])</f>
        <v>2</v>
      </c>
      <c r="D4" t="s">
        <v>672</v>
      </c>
      <c r="E4" cm="1">
        <f t="array" aca="1" ref="E4" ca="1">INDIRECT(Tbl_Badge[[#This Row],[QuestionName]],FALSE)</f>
        <v>0</v>
      </c>
      <c r="F4" t="b" cm="1">
        <f t="array" aca="1" ref="F4" ca="1">IFERROR(_FV(Tbl_Badge[[#This Row],[Entry]],"Identification")="J17",FALSE)</f>
        <v>0</v>
      </c>
      <c r="H4" t="s">
        <v>673</v>
      </c>
      <c r="I4">
        <f>_xlfn.XLOOKUP(Tbl_BadgeQ[[#This Row],[Question]],Tbl_Badge[Question],Tbl_Badge[Page])</f>
        <v>1</v>
      </c>
      <c r="J4">
        <v>1</v>
      </c>
      <c r="K4">
        <f>COUNTIF(Tbl_Badge[Page],Tbl_BadgeQ[[#This Row],[Page]])/COUNTIF(Tbl_Badge[Page],Tbl_BadgeQ[[#This Row],[Page]])</f>
        <v>1</v>
      </c>
      <c r="L4" t="b">
        <v>0</v>
      </c>
      <c r="M4">
        <f ca="1">COUNTIFS(Tbl_Badge[Correct if],Tbl_BadgeQ[[#This Row],[Response]],Tbl_Badge[Question],Tbl_BadgeQ[[#This Row],[Question]])</f>
        <v>1</v>
      </c>
      <c r="N4">
        <f ca="1">Tbl_BadgeQ[[#This Row],[Value]]/Tbl_BadgeQ[[#This Row],[Total count]]</f>
        <v>1</v>
      </c>
    </row>
    <row r="5" spans="2:28">
      <c r="B5">
        <v>1</v>
      </c>
      <c r="C5" cm="1">
        <f t="array" ref="C5">ROW()-ROW(Tbl_Badge[#Headers])</f>
        <v>3</v>
      </c>
      <c r="D5" t="s">
        <v>674</v>
      </c>
      <c r="E5" cm="1">
        <f t="array" aca="1" ref="E5" ca="1">INDIRECT(Tbl_Badge[[#This Row],[QuestionName]],FALSE)</f>
        <v>0</v>
      </c>
      <c r="F5" t="b" cm="1">
        <f t="array" aca="1" ref="F5" ca="1">IFERROR(_FV(Tbl_Badge[[#This Row],[Entry]],"Identification")="J28",FALSE)</f>
        <v>0</v>
      </c>
      <c r="H5" t="s">
        <v>671</v>
      </c>
      <c r="I5">
        <f>_xlfn.XLOOKUP(Tbl_BadgeQ[[#This Row],[Question]],Tbl_Badge[Question],Tbl_Badge[Page])</f>
        <v>1</v>
      </c>
      <c r="J5">
        <f>J3+1</f>
        <v>2</v>
      </c>
      <c r="K5">
        <f>COUNTIF(Tbl_Badge[Page],Tbl_BadgeQ[[#This Row],[Page]])/COUNTIF(Tbl_Badge[Page],Tbl_BadgeQ[[#This Row],[Page]])</f>
        <v>1</v>
      </c>
      <c r="L5" t="b">
        <v>1</v>
      </c>
      <c r="M5">
        <f ca="1">COUNTIFS(Tbl_Badge[Correct if],Tbl_BadgeQ[[#This Row],[Response]],Tbl_Badge[Question],Tbl_BadgeQ[[#This Row],[Question]])</f>
        <v>0</v>
      </c>
      <c r="N5">
        <f ca="1">Tbl_BadgeQ[[#This Row],[Value]]/Tbl_BadgeQ[[#This Row],[Total count]]</f>
        <v>0</v>
      </c>
    </row>
    <row r="6" spans="2:28">
      <c r="B6">
        <v>1</v>
      </c>
      <c r="C6" cm="1">
        <f t="array" ref="C6">ROW()-ROW(Tbl_Badge[#Headers])</f>
        <v>4</v>
      </c>
      <c r="D6" t="s">
        <v>675</v>
      </c>
      <c r="E6" cm="1">
        <f t="array" aca="1" ref="E6" ca="1">INDIRECT(Tbl_Badge[[#This Row],[QuestionName]],FALSE)</f>
        <v>0</v>
      </c>
      <c r="F6" t="b" cm="1">
        <f t="array" aca="1" ref="F6" ca="1">IFERROR(_FV(Tbl_Badge[[#This Row],[Entry]],"Identification")="J35",FALSE)</f>
        <v>0</v>
      </c>
      <c r="H6" t="s">
        <v>673</v>
      </c>
      <c r="I6">
        <f>_xlfn.XLOOKUP(Tbl_BadgeQ[[#This Row],[Question]],Tbl_Badge[Question],Tbl_Badge[Page])</f>
        <v>1</v>
      </c>
      <c r="J6">
        <f t="shared" ref="J6:J36" si="0">J4+1</f>
        <v>2</v>
      </c>
      <c r="K6">
        <f>COUNTIF(Tbl_Badge[Page],Tbl_BadgeQ[[#This Row],[Page]])/COUNTIF(Tbl_Badge[Page],Tbl_BadgeQ[[#This Row],[Page]])</f>
        <v>1</v>
      </c>
      <c r="L6" t="b">
        <v>0</v>
      </c>
      <c r="M6">
        <f ca="1">COUNTIFS(Tbl_Badge[Correct if],Tbl_BadgeQ[[#This Row],[Response]],Tbl_Badge[Question],Tbl_BadgeQ[[#This Row],[Question]])</f>
        <v>1</v>
      </c>
      <c r="N6">
        <f ca="1">Tbl_BadgeQ[[#This Row],[Value]]/Tbl_BadgeQ[[#This Row],[Total count]]</f>
        <v>1</v>
      </c>
      <c r="V6" t="s">
        <v>676</v>
      </c>
    </row>
    <row r="7" spans="2:28">
      <c r="B7">
        <v>1</v>
      </c>
      <c r="C7" cm="1">
        <f t="array" ref="C7">ROW()-ROW(Tbl_Badge[#Headers])</f>
        <v>5</v>
      </c>
      <c r="D7" t="s">
        <v>677</v>
      </c>
      <c r="E7" cm="1">
        <f t="array" aca="1" ref="E7" ca="1">INDIRECT(Tbl_Badge[[#This Row],[QuestionName]],FALSE)</f>
        <v>0</v>
      </c>
      <c r="F7" t="b" cm="1">
        <f t="array" aca="1" ref="F7" ca="1">IFERROR(_FV(Tbl_Badge[[#This Row],[Entry]],"Identification")="J44",FALSE)</f>
        <v>0</v>
      </c>
      <c r="H7" t="s">
        <v>671</v>
      </c>
      <c r="I7">
        <f>_xlfn.XLOOKUP(Tbl_BadgeQ[[#This Row],[Question]],Tbl_Badge[Question],Tbl_Badge[Page])</f>
        <v>1</v>
      </c>
      <c r="J7">
        <f t="shared" si="0"/>
        <v>3</v>
      </c>
      <c r="K7">
        <f>COUNTIF(Tbl_Badge[Page],Tbl_BadgeQ[[#This Row],[Page]])/COUNTIF(Tbl_Badge[Page],Tbl_BadgeQ[[#This Row],[Page]])</f>
        <v>1</v>
      </c>
      <c r="L7" t="b">
        <v>1</v>
      </c>
      <c r="M7">
        <f ca="1">COUNTIFS(Tbl_Badge[Correct if],Tbl_BadgeQ[[#This Row],[Response]],Tbl_Badge[Question],Tbl_BadgeQ[[#This Row],[Question]])</f>
        <v>0</v>
      </c>
      <c r="N7">
        <f ca="1">Tbl_BadgeQ[[#This Row],[Value]]/Tbl_BadgeQ[[#This Row],[Total count]]</f>
        <v>0</v>
      </c>
      <c r="V7" s="179" cm="1">
        <f t="array" aca="1" ref="V7" ca="1">_xlfn.SWITCH(TRUE(),AND($T$9=1,NOT($T$11)),1,AND($T$9=1,$T$11),2,AND($T$9=0,NOT($T$11)),3,AND($T$9=0,$T$11),3)</f>
        <v>3</v>
      </c>
    </row>
    <row r="8" spans="2:28">
      <c r="B8">
        <v>1</v>
      </c>
      <c r="C8" cm="1">
        <f t="array" ref="C8">ROW()-ROW(Tbl_Badge[#Headers])</f>
        <v>6</v>
      </c>
      <c r="D8" t="s">
        <v>678</v>
      </c>
      <c r="E8" cm="1">
        <f t="array" aca="1" ref="E8" ca="1">INDIRECT(Tbl_Badge[[#This Row],[QuestionName]],FALSE)</f>
        <v>0</v>
      </c>
      <c r="F8" t="b">
        <f ca="1">LEN(Tbl_Badge[[#This Row],[Entry]])&gt;10</f>
        <v>0</v>
      </c>
      <c r="H8" t="s">
        <v>673</v>
      </c>
      <c r="I8">
        <f>_xlfn.XLOOKUP(Tbl_BadgeQ[[#This Row],[Question]],Tbl_Badge[Question],Tbl_Badge[Page])</f>
        <v>1</v>
      </c>
      <c r="J8">
        <f t="shared" si="0"/>
        <v>3</v>
      </c>
      <c r="K8">
        <f>COUNTIF(Tbl_Badge[Page],Tbl_BadgeQ[[#This Row],[Page]])/COUNTIF(Tbl_Badge[Page],Tbl_BadgeQ[[#This Row],[Page]])</f>
        <v>1</v>
      </c>
      <c r="L8" t="b">
        <v>0</v>
      </c>
      <c r="M8">
        <f ca="1">COUNTIFS(Tbl_Badge[Correct if],Tbl_BadgeQ[[#This Row],[Response]],Tbl_Badge[Question],Tbl_BadgeQ[[#This Row],[Question]])</f>
        <v>1</v>
      </c>
      <c r="N8">
        <f ca="1">Tbl_BadgeQ[[#This Row],[Value]]/Tbl_BadgeQ[[#This Row],[Total count]]</f>
        <v>1</v>
      </c>
      <c r="X8" t="s">
        <v>671</v>
      </c>
      <c r="Y8" t="s">
        <v>108</v>
      </c>
      <c r="Z8" t="s">
        <v>679</v>
      </c>
      <c r="AA8" t="s">
        <v>464</v>
      </c>
      <c r="AB8" t="s">
        <v>680</v>
      </c>
    </row>
    <row r="9" spans="2:28">
      <c r="B9">
        <v>2</v>
      </c>
      <c r="C9" cm="1">
        <f t="array" ref="C9">ROW()-ROW(Tbl_Badge[#Headers])</f>
        <v>7</v>
      </c>
      <c r="D9" t="s">
        <v>681</v>
      </c>
      <c r="E9" cm="1">
        <f t="array" aca="1" ref="E9" ca="1">INDIRECT(Tbl_Badge[[#This Row],[QuestionName]],FALSE)</f>
        <v>0</v>
      </c>
      <c r="F9" t="b">
        <f>Backend_P2!$I5</f>
        <v>0</v>
      </c>
      <c r="H9" t="s">
        <v>671</v>
      </c>
      <c r="I9">
        <f>_xlfn.XLOOKUP(Tbl_BadgeQ[[#This Row],[Question]],Tbl_Badge[Question],Tbl_Badge[Page])</f>
        <v>1</v>
      </c>
      <c r="J9">
        <f t="shared" si="0"/>
        <v>4</v>
      </c>
      <c r="K9">
        <f>COUNTIF(Tbl_Badge[Page],Tbl_BadgeQ[[#This Row],[Page]])/COUNTIF(Tbl_Badge[Page],Tbl_BadgeQ[[#This Row],[Page]])</f>
        <v>1</v>
      </c>
      <c r="L9" t="b">
        <v>1</v>
      </c>
      <c r="M9">
        <f ca="1">COUNTIFS(Tbl_Badge[Correct if],Tbl_BadgeQ[[#This Row],[Response]],Tbl_Badge[Question],Tbl_BadgeQ[[#This Row],[Question]])</f>
        <v>0</v>
      </c>
      <c r="N9">
        <f ca="1">Tbl_BadgeQ[[#This Row],[Value]]/Tbl_BadgeQ[[#This Row],[Total count]]</f>
        <v>0</v>
      </c>
      <c r="S9" t="s">
        <v>682</v>
      </c>
      <c r="T9">
        <f ca="1">IF(SUMIFS(Tbl_BadgeQ[Percentage],Tbl_BadgeQ[Response],TRUE)=MAX(Tbl_BadgeQ[Question]),1,0)</f>
        <v>0</v>
      </c>
      <c r="U9" t="str">
        <f ca="1">IF(T10=1,"Keep working!","Congratulations!")</f>
        <v>Keep working!</v>
      </c>
      <c r="V9" t="b">
        <f ca="1">AND($T$9=1,Certificate!D4=0)</f>
        <v>0</v>
      </c>
      <c r="X9" t="b">
        <v>1</v>
      </c>
      <c r="Y9" t="b">
        <v>0</v>
      </c>
      <c r="Z9" t="s">
        <v>683</v>
      </c>
      <c r="AA9" t="s">
        <v>684</v>
      </c>
      <c r="AB9" t="s">
        <v>685</v>
      </c>
    </row>
    <row r="10" spans="2:28">
      <c r="B10">
        <v>2</v>
      </c>
      <c r="C10" cm="1">
        <f t="array" ref="C10">ROW()-ROW(Tbl_Badge[#Headers])</f>
        <v>8</v>
      </c>
      <c r="D10" t="s">
        <v>686</v>
      </c>
      <c r="E10" cm="1">
        <f t="array" aca="1" ref="E10" ca="1">INDIRECT(Tbl_Badge[[#This Row],[QuestionName]],FALSE)</f>
        <v>0</v>
      </c>
      <c r="F10" t="b">
        <f>Backend_P2!$I6</f>
        <v>0</v>
      </c>
      <c r="H10" t="s">
        <v>673</v>
      </c>
      <c r="I10">
        <f>_xlfn.XLOOKUP(Tbl_BadgeQ[[#This Row],[Question]],Tbl_Badge[Question],Tbl_Badge[Page])</f>
        <v>1</v>
      </c>
      <c r="J10">
        <f t="shared" si="0"/>
        <v>4</v>
      </c>
      <c r="K10">
        <f>COUNTIF(Tbl_Badge[Page],Tbl_BadgeQ[[#This Row],[Page]])/COUNTIF(Tbl_Badge[Page],Tbl_BadgeQ[[#This Row],[Page]])</f>
        <v>1</v>
      </c>
      <c r="L10" t="b">
        <v>0</v>
      </c>
      <c r="M10">
        <f ca="1">COUNTIFS(Tbl_Badge[Correct if],Tbl_BadgeQ[[#This Row],[Response]],Tbl_Badge[Question],Tbl_BadgeQ[[#This Row],[Question]])</f>
        <v>1</v>
      </c>
      <c r="N10">
        <f ca="1">Tbl_BadgeQ[[#This Row],[Value]]/Tbl_BadgeQ[[#This Row],[Total count]]</f>
        <v>1</v>
      </c>
      <c r="S10" t="s">
        <v>687</v>
      </c>
      <c r="T10">
        <f ca="1">1-T9</f>
        <v>1</v>
      </c>
      <c r="U10" t="str">
        <f ca="1">IF(T10=1,"Keep answering questions and completing reflections.","You have successfully earned your Orca Research badge.")</f>
        <v>Keep answering questions and completing reflections.</v>
      </c>
      <c r="V10" t="b">
        <f ca="1">AND($T$9=1,Certificate!D4&lt;&gt;0)</f>
        <v>0</v>
      </c>
      <c r="X10" t="b">
        <v>1</v>
      </c>
      <c r="Y10" t="b">
        <v>1</v>
      </c>
      <c r="Z10" t="s">
        <v>688</v>
      </c>
      <c r="AA10" t="s">
        <v>684</v>
      </c>
      <c r="AB10" t="s">
        <v>689</v>
      </c>
    </row>
    <row r="11" spans="2:28">
      <c r="B11">
        <v>2</v>
      </c>
      <c r="C11" cm="1">
        <f t="array" ref="C11">ROW()-ROW(Tbl_Badge[#Headers])</f>
        <v>9</v>
      </c>
      <c r="D11" t="s">
        <v>690</v>
      </c>
      <c r="E11" cm="1">
        <f t="array" aca="1" ref="E11" ca="1">INDIRECT(Tbl_Badge[[#This Row],[QuestionName]],FALSE)</f>
        <v>0</v>
      </c>
      <c r="F11" t="b">
        <f>Backend_P2!$I7</f>
        <v>0</v>
      </c>
      <c r="H11" t="s">
        <v>671</v>
      </c>
      <c r="I11">
        <f>_xlfn.XLOOKUP(Tbl_BadgeQ[[#This Row],[Question]],Tbl_Badge[Question],Tbl_Badge[Page])</f>
        <v>1</v>
      </c>
      <c r="J11">
        <f t="shared" si="0"/>
        <v>5</v>
      </c>
      <c r="K11">
        <f>COUNTIF(Tbl_Badge[Page],Tbl_BadgeQ[[#This Row],[Page]])/COUNTIF(Tbl_Badge[Page],Tbl_BadgeQ[[#This Row],[Page]])</f>
        <v>1</v>
      </c>
      <c r="L11" t="b">
        <v>1</v>
      </c>
      <c r="M11">
        <f ca="1">COUNTIFS(Tbl_Badge[Correct if],Tbl_BadgeQ[[#This Row],[Response]],Tbl_Badge[Question],Tbl_BadgeQ[[#This Row],[Question]])</f>
        <v>0</v>
      </c>
      <c r="N11">
        <f ca="1">Tbl_BadgeQ[[#This Row],[Value]]/Tbl_BadgeQ[[#This Row],[Total count]]</f>
        <v>0</v>
      </c>
      <c r="S11" t="s">
        <v>691</v>
      </c>
      <c r="T11" t="b">
        <f>NOT(Certificate!$D$4=0)</f>
        <v>0</v>
      </c>
      <c r="X11" t="b">
        <v>0</v>
      </c>
      <c r="Y11" t="b">
        <v>0</v>
      </c>
      <c r="Z11" t="s">
        <v>692</v>
      </c>
      <c r="AA11" t="s">
        <v>692</v>
      </c>
      <c r="AB11" t="s">
        <v>689</v>
      </c>
    </row>
    <row r="12" spans="2:28">
      <c r="B12">
        <v>2</v>
      </c>
      <c r="C12" cm="1">
        <f t="array" ref="C12">ROW()-ROW(Tbl_Badge[#Headers])</f>
        <v>10</v>
      </c>
      <c r="D12" t="s">
        <v>693</v>
      </c>
      <c r="E12" cm="1">
        <f t="array" aca="1" ref="E12" ca="1">INDIRECT(Tbl_Badge[[#This Row],[QuestionName]],FALSE)</f>
        <v>0</v>
      </c>
      <c r="F12" t="b">
        <f>Backend_P2!$I8</f>
        <v>0</v>
      </c>
      <c r="H12" t="s">
        <v>673</v>
      </c>
      <c r="I12">
        <f>_xlfn.XLOOKUP(Tbl_BadgeQ[[#This Row],[Question]],Tbl_Badge[Question],Tbl_Badge[Page])</f>
        <v>1</v>
      </c>
      <c r="J12">
        <f t="shared" si="0"/>
        <v>5</v>
      </c>
      <c r="K12">
        <f>COUNTIF(Tbl_Badge[Page],Tbl_BadgeQ[[#This Row],[Page]])/COUNTIF(Tbl_Badge[Page],Tbl_BadgeQ[[#This Row],[Page]])</f>
        <v>1</v>
      </c>
      <c r="L12" t="b">
        <v>0</v>
      </c>
      <c r="M12">
        <f ca="1">COUNTIFS(Tbl_Badge[Correct if],Tbl_BadgeQ[[#This Row],[Response]],Tbl_Badge[Question],Tbl_BadgeQ[[#This Row],[Question]])</f>
        <v>1</v>
      </c>
      <c r="N12">
        <f ca="1">Tbl_BadgeQ[[#This Row],[Value]]/Tbl_BadgeQ[[#This Row],[Total count]]</f>
        <v>1</v>
      </c>
      <c r="X12" t="b">
        <v>0</v>
      </c>
      <c r="Y12" t="b">
        <v>1</v>
      </c>
      <c r="Z12" t="s">
        <v>692</v>
      </c>
      <c r="AA12" t="s">
        <v>692</v>
      </c>
      <c r="AB12" t="s">
        <v>689</v>
      </c>
    </row>
    <row r="13" spans="2:28">
      <c r="B13">
        <v>2</v>
      </c>
      <c r="C13" cm="1">
        <f t="array" ref="C13">ROW()-ROW(Tbl_Badge[#Headers])</f>
        <v>11</v>
      </c>
      <c r="D13" t="s">
        <v>694</v>
      </c>
      <c r="E13" cm="1">
        <f t="array" aca="1" ref="E13" ca="1">INDIRECT(Tbl_Badge[[#This Row],[QuestionName]],FALSE)</f>
        <v>0</v>
      </c>
      <c r="F13" t="b">
        <f>Backend_P2!$I9</f>
        <v>0</v>
      </c>
      <c r="H13" t="s">
        <v>671</v>
      </c>
      <c r="I13">
        <f>_xlfn.XLOOKUP(Tbl_BadgeQ[[#This Row],[Question]],Tbl_Badge[Question],Tbl_Badge[Page])</f>
        <v>1</v>
      </c>
      <c r="J13">
        <f t="shared" si="0"/>
        <v>6</v>
      </c>
      <c r="K13">
        <f>COUNTIF(Tbl_Badge[Page],Tbl_BadgeQ[[#This Row],[Page]])/COUNTIF(Tbl_Badge[Page],Tbl_BadgeQ[[#This Row],[Page]])</f>
        <v>1</v>
      </c>
      <c r="L13" t="b">
        <v>1</v>
      </c>
      <c r="M13">
        <f ca="1">COUNTIFS(Tbl_Badge[Correct if],Tbl_BadgeQ[[#This Row],[Response]],Tbl_Badge[Question],Tbl_BadgeQ[[#This Row],[Question]])</f>
        <v>0</v>
      </c>
      <c r="N13">
        <f ca="1">Tbl_BadgeQ[[#This Row],[Value]]/Tbl_BadgeQ[[#This Row],[Total count]]</f>
        <v>0</v>
      </c>
    </row>
    <row r="14" spans="2:28">
      <c r="B14">
        <v>2</v>
      </c>
      <c r="C14" cm="1">
        <f t="array" ref="C14">ROW()-ROW(Tbl_Badge[#Headers])</f>
        <v>12</v>
      </c>
      <c r="D14" t="s">
        <v>695</v>
      </c>
      <c r="E14" cm="1">
        <f t="array" aca="1" ref="E14" ca="1">INDIRECT(Tbl_Badge[[#This Row],[QuestionName]],FALSE)</f>
        <v>0</v>
      </c>
      <c r="F14" t="b">
        <f>Backend_P2!$I10</f>
        <v>0</v>
      </c>
      <c r="H14" t="s">
        <v>673</v>
      </c>
      <c r="I14">
        <f>_xlfn.XLOOKUP(Tbl_BadgeQ[[#This Row],[Question]],Tbl_Badge[Question],Tbl_Badge[Page])</f>
        <v>1</v>
      </c>
      <c r="J14">
        <f t="shared" si="0"/>
        <v>6</v>
      </c>
      <c r="K14">
        <f>COUNTIF(Tbl_Badge[Page],Tbl_BadgeQ[[#This Row],[Page]])/COUNTIF(Tbl_Badge[Page],Tbl_BadgeQ[[#This Row],[Page]])</f>
        <v>1</v>
      </c>
      <c r="L14" t="b">
        <v>0</v>
      </c>
      <c r="M14">
        <f ca="1">COUNTIFS(Tbl_Badge[Correct if],Tbl_BadgeQ[[#This Row],[Response]],Tbl_Badge[Question],Tbl_BadgeQ[[#This Row],[Question]])</f>
        <v>1</v>
      </c>
      <c r="N14">
        <f ca="1">Tbl_BadgeQ[[#This Row],[Value]]/Tbl_BadgeQ[[#This Row],[Total count]]</f>
        <v>1</v>
      </c>
    </row>
    <row r="15" spans="2:28">
      <c r="B15">
        <v>2</v>
      </c>
      <c r="C15" cm="1">
        <f t="array" ref="C15">ROW()-ROW(Tbl_Badge[#Headers])</f>
        <v>13</v>
      </c>
      <c r="D15" t="s">
        <v>696</v>
      </c>
      <c r="E15" cm="1">
        <f t="array" aca="1" ref="E15" ca="1">INDIRECT(Tbl_Badge[[#This Row],[QuestionName]],FALSE)</f>
        <v>0</v>
      </c>
      <c r="F15" t="b">
        <f>Backend_P2!$I11</f>
        <v>0</v>
      </c>
      <c r="H15" t="s">
        <v>671</v>
      </c>
      <c r="I15">
        <f>_xlfn.XLOOKUP(Tbl_BadgeQ[[#This Row],[Question]],Tbl_Badge[Question],Tbl_Badge[Page])</f>
        <v>2</v>
      </c>
      <c r="J15">
        <f t="shared" si="0"/>
        <v>7</v>
      </c>
      <c r="K15">
        <f>COUNTIF(Tbl_Badge[Page],Tbl_BadgeQ[[#This Row],[Page]])/COUNTIF(Tbl_Badge[Page],Tbl_BadgeQ[[#This Row],[Page]])</f>
        <v>1</v>
      </c>
      <c r="L15" t="b">
        <v>1</v>
      </c>
      <c r="M15">
        <f ca="1">COUNTIFS(Tbl_Badge[Correct if],Tbl_BadgeQ[[#This Row],[Response]],Tbl_Badge[Question],Tbl_BadgeQ[[#This Row],[Question]])</f>
        <v>0</v>
      </c>
      <c r="N15">
        <f ca="1">Tbl_BadgeQ[[#This Row],[Value]]/Tbl_BadgeQ[[#This Row],[Total count]]</f>
        <v>0</v>
      </c>
      <c r="Q15">
        <v>1</v>
      </c>
    </row>
    <row r="16" spans="2:28">
      <c r="B16">
        <v>2</v>
      </c>
      <c r="C16" cm="1">
        <f t="array" ref="C16">ROW()-ROW(Tbl_Badge[#Headers])</f>
        <v>14</v>
      </c>
      <c r="D16" t="s">
        <v>697</v>
      </c>
      <c r="E16" cm="1">
        <f t="array" aca="1" ref="E16" ca="1">INDIRECT(Tbl_Badge[[#This Row],[QuestionName]],FALSE)</f>
        <v>0</v>
      </c>
      <c r="F16" t="b">
        <f ca="1">LEN(Tbl_Badge[[#This Row],[Entry]])&gt;10</f>
        <v>0</v>
      </c>
      <c r="H16" t="s">
        <v>673</v>
      </c>
      <c r="I16">
        <f>_xlfn.XLOOKUP(Tbl_BadgeQ[[#This Row],[Question]],Tbl_Badge[Question],Tbl_Badge[Page])</f>
        <v>2</v>
      </c>
      <c r="J16">
        <f t="shared" si="0"/>
        <v>7</v>
      </c>
      <c r="K16">
        <f>COUNTIF(Tbl_Badge[Page],Tbl_BadgeQ[[#This Row],[Page]])/COUNTIF(Tbl_Badge[Page],Tbl_BadgeQ[[#This Row],[Page]])</f>
        <v>1</v>
      </c>
      <c r="L16" t="b">
        <v>0</v>
      </c>
      <c r="M16">
        <f ca="1">COUNTIFS(Tbl_Badge[Correct if],Tbl_BadgeQ[[#This Row],[Response]],Tbl_Badge[Question],Tbl_BadgeQ[[#This Row],[Question]])</f>
        <v>1</v>
      </c>
      <c r="N16">
        <f ca="1">Tbl_BadgeQ[[#This Row],[Value]]/Tbl_BadgeQ[[#This Row],[Total count]]</f>
        <v>1</v>
      </c>
      <c r="Q16">
        <v>1</v>
      </c>
    </row>
    <row r="17" spans="2:17">
      <c r="B17">
        <v>3</v>
      </c>
      <c r="C17" cm="1">
        <f t="array" ref="C17">ROW()-ROW(Tbl_Badge[#Headers])</f>
        <v>15</v>
      </c>
      <c r="D17" t="s">
        <v>698</v>
      </c>
      <c r="E17" cm="1">
        <f t="array" aca="1" ref="E17" ca="1">INDIRECT(Tbl_Badge[[#This Row],[QuestionName]],FALSE)</f>
        <v>0</v>
      </c>
      <c r="F17" t="b" cm="1">
        <f t="array" aca="1" ref="F17" ca="1">Tbl_Badge[[#This Row],[Entry]]=SUM(_FV(SightingTable[Orca sighting locations],"latitude"))</f>
        <v>0</v>
      </c>
      <c r="H17" t="s">
        <v>671</v>
      </c>
      <c r="I17">
        <f>_xlfn.XLOOKUP(Tbl_BadgeQ[[#This Row],[Question]],Tbl_Badge[Question],Tbl_Badge[Page])</f>
        <v>2</v>
      </c>
      <c r="J17">
        <f t="shared" si="0"/>
        <v>8</v>
      </c>
      <c r="K17">
        <f>COUNTIF(Tbl_Badge[Page],Tbl_BadgeQ[[#This Row],[Page]])/COUNTIF(Tbl_Badge[Page],Tbl_BadgeQ[[#This Row],[Page]])</f>
        <v>1</v>
      </c>
      <c r="L17" t="b">
        <v>1</v>
      </c>
      <c r="M17">
        <f ca="1">COUNTIFS(Tbl_Badge[Correct if],Tbl_BadgeQ[[#This Row],[Response]],Tbl_Badge[Question],Tbl_BadgeQ[[#This Row],[Question]])</f>
        <v>0</v>
      </c>
      <c r="N17">
        <f ca="1">Tbl_BadgeQ[[#This Row],[Value]]/Tbl_BadgeQ[[#This Row],[Total count]]</f>
        <v>0</v>
      </c>
      <c r="Q17">
        <v>1</v>
      </c>
    </row>
    <row r="18" spans="2:17">
      <c r="B18">
        <v>3</v>
      </c>
      <c r="C18" cm="1">
        <f t="array" ref="C18">ROW()-ROW(Tbl_Badge[#Headers])</f>
        <v>16</v>
      </c>
      <c r="D18" t="s">
        <v>699</v>
      </c>
      <c r="E18" cm="1">
        <f t="array" aca="1" ref="E18" ca="1">INDIRECT(Tbl_Badge[[#This Row],[QuestionName]],FALSE)</f>
        <v>0</v>
      </c>
      <c r="F18" t="b" cm="1">
        <f t="array" aca="1" ref="F18" ca="1">Tbl_Badge[[#This Row],[Entry]]=SUM(_FV(SightingTable[Orca sighting locations],"longitude"))</f>
        <v>0</v>
      </c>
      <c r="H18" t="s">
        <v>673</v>
      </c>
      <c r="I18">
        <f>_xlfn.XLOOKUP(Tbl_BadgeQ[[#This Row],[Question]],Tbl_Badge[Question],Tbl_Badge[Page])</f>
        <v>2</v>
      </c>
      <c r="J18">
        <f t="shared" si="0"/>
        <v>8</v>
      </c>
      <c r="K18">
        <f>COUNTIF(Tbl_Badge[Page],Tbl_BadgeQ[[#This Row],[Page]])/COUNTIF(Tbl_Badge[Page],Tbl_BadgeQ[[#This Row],[Page]])</f>
        <v>1</v>
      </c>
      <c r="L18" t="b">
        <v>0</v>
      </c>
      <c r="M18">
        <f ca="1">COUNTIFS(Tbl_Badge[Correct if],Tbl_BadgeQ[[#This Row],[Response]],Tbl_Badge[Question],Tbl_BadgeQ[[#This Row],[Question]])</f>
        <v>1</v>
      </c>
      <c r="N18">
        <f ca="1">Tbl_BadgeQ[[#This Row],[Value]]/Tbl_BadgeQ[[#This Row],[Total count]]</f>
        <v>1</v>
      </c>
    </row>
    <row r="19" spans="2:17">
      <c r="B19">
        <v>3</v>
      </c>
      <c r="C19" cm="1">
        <f t="array" ref="C19">ROW()-ROW(Tbl_Badge[#Headers])</f>
        <v>17</v>
      </c>
      <c r="D19" t="s">
        <v>700</v>
      </c>
      <c r="E19" cm="1">
        <f t="array" aca="1" ref="E19" ca="1">INDIRECT(Tbl_Badge[[#This Row],[QuestionName]],FALSE)</f>
        <v>0</v>
      </c>
      <c r="F19" t="b">
        <f ca="1">LEN(Tbl_Badge[[#This Row],[Entry]])&gt;10</f>
        <v>0</v>
      </c>
      <c r="H19" t="s">
        <v>671</v>
      </c>
      <c r="I19">
        <f>_xlfn.XLOOKUP(Tbl_BadgeQ[[#This Row],[Question]],Tbl_Badge[Question],Tbl_Badge[Page])</f>
        <v>2</v>
      </c>
      <c r="J19">
        <f t="shared" si="0"/>
        <v>9</v>
      </c>
      <c r="K19">
        <f>COUNTIF(Tbl_Badge[Page],Tbl_BadgeQ[[#This Row],[Page]])/COUNTIF(Tbl_Badge[Page],Tbl_BadgeQ[[#This Row],[Page]])</f>
        <v>1</v>
      </c>
      <c r="L19" t="b">
        <v>1</v>
      </c>
      <c r="M19">
        <f ca="1">COUNTIFS(Tbl_Badge[Correct if],Tbl_BadgeQ[[#This Row],[Response]],Tbl_Badge[Question],Tbl_BadgeQ[[#This Row],[Question]])</f>
        <v>0</v>
      </c>
      <c r="N19">
        <f ca="1">Tbl_BadgeQ[[#This Row],[Value]]/Tbl_BadgeQ[[#This Row],[Total count]]</f>
        <v>0</v>
      </c>
    </row>
    <row r="20" spans="2:17">
      <c r="H20" t="s">
        <v>673</v>
      </c>
      <c r="I20">
        <f>_xlfn.XLOOKUP(Tbl_BadgeQ[[#This Row],[Question]],Tbl_Badge[Question],Tbl_Badge[Page])</f>
        <v>2</v>
      </c>
      <c r="J20">
        <f t="shared" si="0"/>
        <v>9</v>
      </c>
      <c r="K20">
        <f>COUNTIF(Tbl_Badge[Page],Tbl_BadgeQ[[#This Row],[Page]])/COUNTIF(Tbl_Badge[Page],Tbl_BadgeQ[[#This Row],[Page]])</f>
        <v>1</v>
      </c>
      <c r="L20" t="b">
        <v>0</v>
      </c>
      <c r="M20">
        <f ca="1">COUNTIFS(Tbl_Badge[Correct if],Tbl_BadgeQ[[#This Row],[Response]],Tbl_Badge[Question],Tbl_BadgeQ[[#This Row],[Question]])</f>
        <v>1</v>
      </c>
      <c r="N20">
        <f ca="1">Tbl_BadgeQ[[#This Row],[Value]]/Tbl_BadgeQ[[#This Row],[Total count]]</f>
        <v>1</v>
      </c>
    </row>
    <row r="21" spans="2:17">
      <c r="H21" t="s">
        <v>671</v>
      </c>
      <c r="I21">
        <f>_xlfn.XLOOKUP(Tbl_BadgeQ[[#This Row],[Question]],Tbl_Badge[Question],Tbl_Badge[Page])</f>
        <v>2</v>
      </c>
      <c r="J21">
        <f t="shared" si="0"/>
        <v>10</v>
      </c>
      <c r="K21">
        <f>COUNTIF(Tbl_Badge[Page],Tbl_BadgeQ[[#This Row],[Page]])/COUNTIF(Tbl_Badge[Page],Tbl_BadgeQ[[#This Row],[Page]])</f>
        <v>1</v>
      </c>
      <c r="L21" t="b">
        <v>1</v>
      </c>
      <c r="M21">
        <f ca="1">COUNTIFS(Tbl_Badge[Correct if],Tbl_BadgeQ[[#This Row],[Response]],Tbl_Badge[Question],Tbl_BadgeQ[[#This Row],[Question]])</f>
        <v>0</v>
      </c>
      <c r="N21">
        <f ca="1">Tbl_BadgeQ[[#This Row],[Value]]/Tbl_BadgeQ[[#This Row],[Total count]]</f>
        <v>0</v>
      </c>
    </row>
    <row r="22" spans="2:17">
      <c r="H22" t="s">
        <v>673</v>
      </c>
      <c r="I22">
        <f>_xlfn.XLOOKUP(Tbl_BadgeQ[[#This Row],[Question]],Tbl_Badge[Question],Tbl_Badge[Page])</f>
        <v>2</v>
      </c>
      <c r="J22">
        <f t="shared" si="0"/>
        <v>10</v>
      </c>
      <c r="K22">
        <f>COUNTIF(Tbl_Badge[Page],Tbl_BadgeQ[[#This Row],[Page]])/COUNTIF(Tbl_Badge[Page],Tbl_BadgeQ[[#This Row],[Page]])</f>
        <v>1</v>
      </c>
      <c r="L22" t="b">
        <v>0</v>
      </c>
      <c r="M22">
        <f ca="1">COUNTIFS(Tbl_Badge[Correct if],Tbl_BadgeQ[[#This Row],[Response]],Tbl_Badge[Question],Tbl_BadgeQ[[#This Row],[Question]])</f>
        <v>1</v>
      </c>
      <c r="N22">
        <f ca="1">Tbl_BadgeQ[[#This Row],[Value]]/Tbl_BadgeQ[[#This Row],[Total count]]</f>
        <v>1</v>
      </c>
    </row>
    <row r="23" spans="2:17">
      <c r="H23" t="s">
        <v>671</v>
      </c>
      <c r="I23">
        <f>_xlfn.XLOOKUP(Tbl_BadgeQ[[#This Row],[Question]],Tbl_Badge[Question],Tbl_Badge[Page])</f>
        <v>2</v>
      </c>
      <c r="J23">
        <f t="shared" si="0"/>
        <v>11</v>
      </c>
      <c r="K23">
        <f>COUNTIF(Tbl_Badge[Page],Tbl_BadgeQ[[#This Row],[Page]])/COUNTIF(Tbl_Badge[Page],Tbl_BadgeQ[[#This Row],[Page]])</f>
        <v>1</v>
      </c>
      <c r="L23" t="b">
        <v>1</v>
      </c>
      <c r="M23">
        <f ca="1">COUNTIFS(Tbl_Badge[Correct if],Tbl_BadgeQ[[#This Row],[Response]],Tbl_Badge[Question],Tbl_BadgeQ[[#This Row],[Question]])</f>
        <v>0</v>
      </c>
      <c r="N23">
        <f ca="1">Tbl_BadgeQ[[#This Row],[Value]]/Tbl_BadgeQ[[#This Row],[Total count]]</f>
        <v>0</v>
      </c>
    </row>
    <row r="24" spans="2:17">
      <c r="H24" t="s">
        <v>673</v>
      </c>
      <c r="I24">
        <f>_xlfn.XLOOKUP(Tbl_BadgeQ[[#This Row],[Question]],Tbl_Badge[Question],Tbl_Badge[Page])</f>
        <v>2</v>
      </c>
      <c r="J24">
        <f t="shared" si="0"/>
        <v>11</v>
      </c>
      <c r="K24">
        <f>COUNTIF(Tbl_Badge[Page],Tbl_BadgeQ[[#This Row],[Page]])/COUNTIF(Tbl_Badge[Page],Tbl_BadgeQ[[#This Row],[Page]])</f>
        <v>1</v>
      </c>
      <c r="L24" t="b">
        <v>0</v>
      </c>
      <c r="M24">
        <f ca="1">COUNTIFS(Tbl_Badge[Correct if],Tbl_BadgeQ[[#This Row],[Response]],Tbl_Badge[Question],Tbl_BadgeQ[[#This Row],[Question]])</f>
        <v>1</v>
      </c>
      <c r="N24">
        <f ca="1">Tbl_BadgeQ[[#This Row],[Value]]/Tbl_BadgeQ[[#This Row],[Total count]]</f>
        <v>1</v>
      </c>
    </row>
    <row r="25" spans="2:17">
      <c r="H25" t="s">
        <v>671</v>
      </c>
      <c r="I25">
        <f>_xlfn.XLOOKUP(Tbl_BadgeQ[[#This Row],[Question]],Tbl_Badge[Question],Tbl_Badge[Page])</f>
        <v>2</v>
      </c>
      <c r="J25">
        <f t="shared" si="0"/>
        <v>12</v>
      </c>
      <c r="K25">
        <f>COUNTIF(Tbl_Badge[Page],Tbl_BadgeQ[[#This Row],[Page]])/COUNTIF(Tbl_Badge[Page],Tbl_BadgeQ[[#This Row],[Page]])</f>
        <v>1</v>
      </c>
      <c r="L25" t="b">
        <v>1</v>
      </c>
      <c r="M25">
        <f ca="1">COUNTIFS(Tbl_Badge[Correct if],Tbl_BadgeQ[[#This Row],[Response]],Tbl_Badge[Question],Tbl_BadgeQ[[#This Row],[Question]])</f>
        <v>0</v>
      </c>
      <c r="N25">
        <f ca="1">Tbl_BadgeQ[[#This Row],[Value]]/Tbl_BadgeQ[[#This Row],[Total count]]</f>
        <v>0</v>
      </c>
    </row>
    <row r="26" spans="2:17">
      <c r="H26" t="s">
        <v>673</v>
      </c>
      <c r="I26">
        <f>_xlfn.XLOOKUP(Tbl_BadgeQ[[#This Row],[Question]],Tbl_Badge[Question],Tbl_Badge[Page])</f>
        <v>2</v>
      </c>
      <c r="J26">
        <f t="shared" si="0"/>
        <v>12</v>
      </c>
      <c r="K26">
        <f>COUNTIF(Tbl_Badge[Page],Tbl_BadgeQ[[#This Row],[Page]])/COUNTIF(Tbl_Badge[Page],Tbl_BadgeQ[[#This Row],[Page]])</f>
        <v>1</v>
      </c>
      <c r="L26" t="b">
        <v>0</v>
      </c>
      <c r="M26">
        <f ca="1">COUNTIFS(Tbl_Badge[Correct if],Tbl_BadgeQ[[#This Row],[Response]],Tbl_Badge[Question],Tbl_BadgeQ[[#This Row],[Question]])</f>
        <v>1</v>
      </c>
      <c r="N26">
        <f ca="1">Tbl_BadgeQ[[#This Row],[Value]]/Tbl_BadgeQ[[#This Row],[Total count]]</f>
        <v>1</v>
      </c>
    </row>
    <row r="27" spans="2:17">
      <c r="H27" t="s">
        <v>671</v>
      </c>
      <c r="I27">
        <f>_xlfn.XLOOKUP(Tbl_BadgeQ[[#This Row],[Question]],Tbl_Badge[Question],Tbl_Badge[Page])</f>
        <v>2</v>
      </c>
      <c r="J27">
        <f t="shared" si="0"/>
        <v>13</v>
      </c>
      <c r="K27">
        <f>COUNTIF(Tbl_Badge[Page],Tbl_BadgeQ[[#This Row],[Page]])/COUNTIF(Tbl_Badge[Page],Tbl_BadgeQ[[#This Row],[Page]])</f>
        <v>1</v>
      </c>
      <c r="L27" t="b">
        <v>1</v>
      </c>
      <c r="M27">
        <f ca="1">COUNTIFS(Tbl_Badge[Correct if],Tbl_BadgeQ[[#This Row],[Response]],Tbl_Badge[Question],Tbl_BadgeQ[[#This Row],[Question]])</f>
        <v>0</v>
      </c>
      <c r="N27">
        <f ca="1">Tbl_BadgeQ[[#This Row],[Value]]/Tbl_BadgeQ[[#This Row],[Total count]]</f>
        <v>0</v>
      </c>
    </row>
    <row r="28" spans="2:17">
      <c r="H28" t="s">
        <v>673</v>
      </c>
      <c r="I28">
        <f>_xlfn.XLOOKUP(Tbl_BadgeQ[[#This Row],[Question]],Tbl_Badge[Question],Tbl_Badge[Page])</f>
        <v>2</v>
      </c>
      <c r="J28">
        <f t="shared" si="0"/>
        <v>13</v>
      </c>
      <c r="K28">
        <f>COUNTIF(Tbl_Badge[Page],Tbl_BadgeQ[[#This Row],[Page]])/COUNTIF(Tbl_Badge[Page],Tbl_BadgeQ[[#This Row],[Page]])</f>
        <v>1</v>
      </c>
      <c r="L28" t="b">
        <v>0</v>
      </c>
      <c r="M28">
        <f ca="1">COUNTIFS(Tbl_Badge[Correct if],Tbl_BadgeQ[[#This Row],[Response]],Tbl_Badge[Question],Tbl_BadgeQ[[#This Row],[Question]])</f>
        <v>1</v>
      </c>
      <c r="N28">
        <f ca="1">Tbl_BadgeQ[[#This Row],[Value]]/Tbl_BadgeQ[[#This Row],[Total count]]</f>
        <v>1</v>
      </c>
    </row>
    <row r="29" spans="2:17">
      <c r="H29" t="s">
        <v>671</v>
      </c>
      <c r="I29">
        <f>_xlfn.XLOOKUP(Tbl_BadgeQ[[#This Row],[Question]],Tbl_Badge[Question],Tbl_Badge[Page])</f>
        <v>2</v>
      </c>
      <c r="J29">
        <f t="shared" si="0"/>
        <v>14</v>
      </c>
      <c r="K29">
        <f>COUNTIF(Tbl_Badge[Page],Tbl_BadgeQ[[#This Row],[Page]])/COUNTIF(Tbl_Badge[Page],Tbl_BadgeQ[[#This Row],[Page]])</f>
        <v>1</v>
      </c>
      <c r="L29" t="b">
        <v>1</v>
      </c>
      <c r="M29">
        <f ca="1">COUNTIFS(Tbl_Badge[Correct if],Tbl_BadgeQ[[#This Row],[Response]],Tbl_Badge[Question],Tbl_BadgeQ[[#This Row],[Question]])</f>
        <v>0</v>
      </c>
      <c r="N29">
        <f ca="1">Tbl_BadgeQ[[#This Row],[Value]]/Tbl_BadgeQ[[#This Row],[Total count]]</f>
        <v>0</v>
      </c>
    </row>
    <row r="30" spans="2:17">
      <c r="H30" t="s">
        <v>673</v>
      </c>
      <c r="I30">
        <f>_xlfn.XLOOKUP(Tbl_BadgeQ[[#This Row],[Question]],Tbl_Badge[Question],Tbl_Badge[Page])</f>
        <v>2</v>
      </c>
      <c r="J30">
        <f t="shared" si="0"/>
        <v>14</v>
      </c>
      <c r="K30">
        <f>COUNTIF(Tbl_Badge[Page],Tbl_BadgeQ[[#This Row],[Page]])/COUNTIF(Tbl_Badge[Page],Tbl_BadgeQ[[#This Row],[Page]])</f>
        <v>1</v>
      </c>
      <c r="L30" t="b">
        <v>0</v>
      </c>
      <c r="M30">
        <f ca="1">COUNTIFS(Tbl_Badge[Correct if],Tbl_BadgeQ[[#This Row],[Response]],Tbl_Badge[Question],Tbl_BadgeQ[[#This Row],[Question]])</f>
        <v>1</v>
      </c>
      <c r="N30">
        <f ca="1">Tbl_BadgeQ[[#This Row],[Value]]/Tbl_BadgeQ[[#This Row],[Total count]]</f>
        <v>1</v>
      </c>
    </row>
    <row r="31" spans="2:17">
      <c r="H31" t="s">
        <v>671</v>
      </c>
      <c r="I31">
        <f>_xlfn.XLOOKUP(Tbl_BadgeQ[[#This Row],[Question]],Tbl_Badge[Question],Tbl_Badge[Page])</f>
        <v>3</v>
      </c>
      <c r="J31">
        <f t="shared" si="0"/>
        <v>15</v>
      </c>
      <c r="K31">
        <f>COUNTIF(Tbl_Badge[Page],Tbl_BadgeQ[[#This Row],[Page]])/COUNTIF(Tbl_Badge[Page],Tbl_BadgeQ[[#This Row],[Page]])</f>
        <v>1</v>
      </c>
      <c r="L31" t="b">
        <v>1</v>
      </c>
      <c r="M31">
        <f ca="1">COUNTIFS(Tbl_Badge[Correct if],Tbl_BadgeQ[[#This Row],[Response]],Tbl_Badge[Question],Tbl_BadgeQ[[#This Row],[Question]])</f>
        <v>0</v>
      </c>
      <c r="N31">
        <f ca="1">Tbl_BadgeQ[[#This Row],[Value]]/Tbl_BadgeQ[[#This Row],[Total count]]</f>
        <v>0</v>
      </c>
    </row>
    <row r="32" spans="2:17">
      <c r="H32" t="s">
        <v>673</v>
      </c>
      <c r="I32">
        <f>_xlfn.XLOOKUP(Tbl_BadgeQ[[#This Row],[Question]],Tbl_Badge[Question],Tbl_Badge[Page])</f>
        <v>3</v>
      </c>
      <c r="J32">
        <f t="shared" si="0"/>
        <v>15</v>
      </c>
      <c r="K32">
        <f>COUNTIF(Tbl_Badge[Page],Tbl_BadgeQ[[#This Row],[Page]])/COUNTIF(Tbl_Badge[Page],Tbl_BadgeQ[[#This Row],[Page]])</f>
        <v>1</v>
      </c>
      <c r="L32" t="b">
        <v>0</v>
      </c>
      <c r="M32">
        <f ca="1">COUNTIFS(Tbl_Badge[Correct if],Tbl_BadgeQ[[#This Row],[Response]],Tbl_Badge[Question],Tbl_BadgeQ[[#This Row],[Question]])</f>
        <v>1</v>
      </c>
      <c r="N32">
        <f ca="1">Tbl_BadgeQ[[#This Row],[Value]]/Tbl_BadgeQ[[#This Row],[Total count]]</f>
        <v>1</v>
      </c>
    </row>
    <row r="33" spans="8:14">
      <c r="H33" t="s">
        <v>671</v>
      </c>
      <c r="I33">
        <f>_xlfn.XLOOKUP(Tbl_BadgeQ[[#This Row],[Question]],Tbl_Badge[Question],Tbl_Badge[Page])</f>
        <v>3</v>
      </c>
      <c r="J33">
        <f t="shared" si="0"/>
        <v>16</v>
      </c>
      <c r="K33">
        <f>COUNTIF(Tbl_Badge[Page],Tbl_BadgeQ[[#This Row],[Page]])/COUNTIF(Tbl_Badge[Page],Tbl_BadgeQ[[#This Row],[Page]])</f>
        <v>1</v>
      </c>
      <c r="L33" t="b">
        <v>1</v>
      </c>
      <c r="M33">
        <f ca="1">COUNTIFS(Tbl_Badge[Correct if],Tbl_BadgeQ[[#This Row],[Response]],Tbl_Badge[Question],Tbl_BadgeQ[[#This Row],[Question]])</f>
        <v>0</v>
      </c>
      <c r="N33">
        <f ca="1">Tbl_BadgeQ[[#This Row],[Value]]/Tbl_BadgeQ[[#This Row],[Total count]]</f>
        <v>0</v>
      </c>
    </row>
    <row r="34" spans="8:14">
      <c r="H34" t="s">
        <v>673</v>
      </c>
      <c r="I34">
        <f>_xlfn.XLOOKUP(Tbl_BadgeQ[[#This Row],[Question]],Tbl_Badge[Question],Tbl_Badge[Page])</f>
        <v>3</v>
      </c>
      <c r="J34">
        <f t="shared" si="0"/>
        <v>16</v>
      </c>
      <c r="K34">
        <f>COUNTIF(Tbl_Badge[Page],Tbl_BadgeQ[[#This Row],[Page]])/COUNTIF(Tbl_Badge[Page],Tbl_BadgeQ[[#This Row],[Page]])</f>
        <v>1</v>
      </c>
      <c r="L34" t="b">
        <v>0</v>
      </c>
      <c r="M34">
        <f ca="1">COUNTIFS(Tbl_Badge[Correct if],Tbl_BadgeQ[[#This Row],[Response]],Tbl_Badge[Question],Tbl_BadgeQ[[#This Row],[Question]])</f>
        <v>1</v>
      </c>
      <c r="N34">
        <f ca="1">Tbl_BadgeQ[[#This Row],[Value]]/Tbl_BadgeQ[[#This Row],[Total count]]</f>
        <v>1</v>
      </c>
    </row>
    <row r="35" spans="8:14">
      <c r="H35" t="s">
        <v>671</v>
      </c>
      <c r="I35">
        <f>_xlfn.XLOOKUP(Tbl_BadgeQ[[#This Row],[Question]],Tbl_Badge[Question],Tbl_Badge[Page])</f>
        <v>3</v>
      </c>
      <c r="J35">
        <f t="shared" si="0"/>
        <v>17</v>
      </c>
      <c r="K35">
        <f>COUNTIF(Tbl_Badge[Page],Tbl_BadgeQ[[#This Row],[Page]])/COUNTIF(Tbl_Badge[Page],Tbl_BadgeQ[[#This Row],[Page]])</f>
        <v>1</v>
      </c>
      <c r="L35" t="b">
        <v>1</v>
      </c>
      <c r="M35">
        <f ca="1">COUNTIFS(Tbl_Badge[Correct if],Tbl_BadgeQ[[#This Row],[Response]],Tbl_Badge[Question],Tbl_BadgeQ[[#This Row],[Question]])</f>
        <v>0</v>
      </c>
      <c r="N35">
        <f ca="1">Tbl_BadgeQ[[#This Row],[Value]]/Tbl_BadgeQ[[#This Row],[Total count]]</f>
        <v>0</v>
      </c>
    </row>
    <row r="36" spans="8:14">
      <c r="H36" t="s">
        <v>673</v>
      </c>
      <c r="I36">
        <f>_xlfn.XLOOKUP(Tbl_BadgeQ[[#This Row],[Question]],Tbl_Badge[Question],Tbl_Badge[Page])</f>
        <v>3</v>
      </c>
      <c r="J36">
        <f t="shared" si="0"/>
        <v>17</v>
      </c>
      <c r="K36">
        <f>COUNTIF(Tbl_Badge[Page],Tbl_BadgeQ[[#This Row],[Page]])/COUNTIF(Tbl_Badge[Page],Tbl_BadgeQ[[#This Row],[Page]])</f>
        <v>1</v>
      </c>
      <c r="L36" t="b">
        <v>0</v>
      </c>
      <c r="M36">
        <f ca="1">COUNTIFS(Tbl_Badge[Correct if],Tbl_BadgeQ[[#This Row],[Response]],Tbl_Badge[Question],Tbl_BadgeQ[[#This Row],[Question]])</f>
        <v>1</v>
      </c>
      <c r="N36">
        <f ca="1">Tbl_BadgeQ[[#This Row],[Value]]/Tbl_BadgeQ[[#This Row],[Total count]]</f>
        <v>1</v>
      </c>
    </row>
  </sheetData>
  <phoneticPr fontId="1" type="noConversion"/>
  <pageMargins left="0.7" right="0.7" top="0.75" bottom="0.75" header="0.3" footer="0.3"/>
  <tableParts count="3">
    <tablePart r:id="rId1"/>
    <tablePart r:id="rId2"/>
    <tablePart r:id="rId3"/>
  </tableParts>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8A8BFB-5FD7-4EC5-BB57-8541A8BD5B56}">
  <sheetPr codeName="Sheet15">
    <tabColor theme="6" tint="0.79998168889431442"/>
  </sheetPr>
  <dimension ref="A1:L53"/>
  <sheetViews>
    <sheetView zoomScaleNormal="100" workbookViewId="0"/>
  </sheetViews>
  <sheetFormatPr defaultColWidth="0" defaultRowHeight="14.45" zeroHeight="1"/>
  <cols>
    <col min="1" max="1" width="0.25" style="2" customWidth="1"/>
    <col min="2" max="2" width="1.625" style="2" customWidth="1"/>
    <col min="3" max="3" width="5.625" style="2" customWidth="1"/>
    <col min="4" max="11" width="9.375" style="2" customWidth="1"/>
    <col min="12" max="12" width="1.875" style="2" customWidth="1"/>
    <col min="13" max="16384" width="8.875" style="2" hidden="1"/>
  </cols>
  <sheetData>
    <row r="1" spans="1:11" ht="11.25" customHeight="1">
      <c r="A1" s="161" t="s">
        <v>701</v>
      </c>
    </row>
    <row r="2" spans="1:11" ht="30" customHeight="1">
      <c r="A2" s="161" t="s">
        <v>702</v>
      </c>
      <c r="C2" s="456" t="s">
        <v>703</v>
      </c>
      <c r="D2" s="456"/>
      <c r="E2" s="456"/>
      <c r="F2" s="456"/>
      <c r="G2" s="456"/>
      <c r="H2" s="456"/>
      <c r="I2" s="456"/>
      <c r="J2" s="456"/>
      <c r="K2" s="456"/>
    </row>
    <row r="3" spans="1:11" ht="18.75" customHeight="1">
      <c r="A3" s="170" t="s">
        <v>704</v>
      </c>
      <c r="C3" s="453" t="s">
        <v>705</v>
      </c>
      <c r="D3" s="453"/>
      <c r="E3" s="453"/>
      <c r="F3" s="453"/>
      <c r="G3" s="453"/>
      <c r="H3" s="453"/>
      <c r="I3" s="183"/>
    </row>
    <row r="4" spans="1:11" ht="18.75" customHeight="1">
      <c r="A4" s="161"/>
      <c r="C4" s="452" t="s">
        <v>706</v>
      </c>
      <c r="D4" s="452"/>
      <c r="E4" s="452"/>
      <c r="F4" s="452"/>
      <c r="G4" s="452"/>
      <c r="H4" s="452"/>
      <c r="I4" s="452"/>
      <c r="J4" s="452"/>
      <c r="K4" s="452"/>
    </row>
    <row r="5" spans="1:11" ht="18.75" customHeight="1">
      <c r="A5" s="161"/>
      <c r="C5" s="452"/>
      <c r="D5" s="452"/>
      <c r="E5" s="452"/>
      <c r="F5" s="452"/>
      <c r="G5" s="452"/>
      <c r="H5" s="452"/>
      <c r="I5" s="452"/>
      <c r="J5" s="452"/>
      <c r="K5" s="452"/>
    </row>
    <row r="6" spans="1:11" ht="18.75" customHeight="1">
      <c r="C6" s="452"/>
      <c r="D6" s="452"/>
      <c r="E6" s="452"/>
      <c r="F6" s="452"/>
      <c r="G6" s="452"/>
      <c r="H6" s="452"/>
      <c r="I6" s="452"/>
      <c r="J6" s="452"/>
      <c r="K6" s="452"/>
    </row>
    <row r="7" spans="1:11" ht="18.75" customHeight="1">
      <c r="C7" s="452"/>
      <c r="D7" s="452"/>
      <c r="E7" s="452"/>
      <c r="F7" s="452"/>
      <c r="G7" s="452"/>
      <c r="H7" s="452"/>
      <c r="I7" s="452"/>
      <c r="J7" s="452"/>
      <c r="K7" s="452"/>
    </row>
    <row r="8" spans="1:11" ht="18.75" customHeight="1">
      <c r="C8" s="453" t="s">
        <v>707</v>
      </c>
      <c r="D8" s="453"/>
      <c r="E8" s="453"/>
      <c r="F8" s="453"/>
      <c r="G8" s="453"/>
      <c r="H8" s="453"/>
      <c r="I8" s="183"/>
    </row>
    <row r="9" spans="1:11" ht="15" customHeight="1">
      <c r="C9" s="184">
        <v>1</v>
      </c>
      <c r="D9" s="452" t="s">
        <v>708</v>
      </c>
      <c r="E9" s="452"/>
      <c r="F9" s="452"/>
      <c r="G9" s="452"/>
      <c r="H9" s="452"/>
      <c r="I9" s="452"/>
      <c r="J9" s="452"/>
      <c r="K9" s="452"/>
    </row>
    <row r="10" spans="1:11" ht="5.45" customHeight="1">
      <c r="C10" s="184"/>
      <c r="D10" s="452"/>
      <c r="E10" s="452"/>
      <c r="F10" s="452"/>
      <c r="G10" s="452"/>
      <c r="H10" s="452"/>
      <c r="I10" s="452"/>
      <c r="J10" s="452"/>
      <c r="K10" s="452"/>
    </row>
    <row r="11" spans="1:11" ht="15" customHeight="1">
      <c r="C11" s="184">
        <v>2</v>
      </c>
      <c r="D11" s="452" t="s">
        <v>709</v>
      </c>
      <c r="E11" s="452"/>
      <c r="F11" s="452"/>
      <c r="G11" s="452"/>
      <c r="H11" s="452"/>
      <c r="I11" s="452"/>
      <c r="J11" s="452"/>
      <c r="K11" s="452"/>
    </row>
    <row r="12" spans="1:11" ht="15" customHeight="1">
      <c r="C12" s="184"/>
      <c r="D12" s="452"/>
      <c r="E12" s="452"/>
      <c r="F12" s="452"/>
      <c r="G12" s="452"/>
      <c r="H12" s="452"/>
      <c r="I12" s="452"/>
      <c r="J12" s="452"/>
      <c r="K12" s="452"/>
    </row>
    <row r="13" spans="1:11" ht="3" customHeight="1">
      <c r="C13" s="184"/>
      <c r="D13" s="189"/>
      <c r="E13" s="189"/>
      <c r="F13" s="189"/>
      <c r="G13" s="189"/>
      <c r="H13" s="189"/>
      <c r="I13" s="189"/>
      <c r="J13" s="189"/>
      <c r="K13" s="189"/>
    </row>
    <row r="14" spans="1:11" ht="15" customHeight="1">
      <c r="C14" s="184">
        <v>3</v>
      </c>
      <c r="D14" s="452" t="s">
        <v>710</v>
      </c>
      <c r="E14" s="452"/>
      <c r="F14" s="452"/>
      <c r="G14" s="452"/>
      <c r="H14" s="452"/>
      <c r="I14" s="452"/>
      <c r="J14" s="452"/>
      <c r="K14" s="452"/>
    </row>
    <row r="15" spans="1:11" ht="15" customHeight="1"/>
    <row r="16" spans="1:11" ht="18.75" customHeight="1">
      <c r="C16" s="453" t="s">
        <v>711</v>
      </c>
      <c r="D16" s="453"/>
      <c r="E16" s="453"/>
      <c r="F16" s="453"/>
      <c r="G16" s="453"/>
      <c r="H16" s="453"/>
      <c r="I16" s="183"/>
    </row>
    <row r="17" spans="3:11" ht="15" customHeight="1">
      <c r="C17" s="184">
        <v>1</v>
      </c>
      <c r="D17" s="452" t="s">
        <v>712</v>
      </c>
      <c r="E17" s="452"/>
      <c r="F17" s="452"/>
      <c r="G17" s="452"/>
      <c r="H17" s="452"/>
      <c r="I17" s="452"/>
      <c r="J17" s="452"/>
      <c r="K17" s="452"/>
    </row>
    <row r="18" spans="3:11" ht="15" customHeight="1">
      <c r="C18" s="184"/>
      <c r="D18" s="452"/>
      <c r="E18" s="452"/>
      <c r="F18" s="452"/>
      <c r="G18" s="452"/>
      <c r="H18" s="452"/>
      <c r="I18" s="452"/>
      <c r="J18" s="452"/>
      <c r="K18" s="452"/>
    </row>
    <row r="19" spans="3:11" ht="7.5" customHeight="1">
      <c r="C19" s="185"/>
      <c r="D19" s="452"/>
      <c r="E19" s="452"/>
      <c r="F19" s="452"/>
      <c r="G19" s="452"/>
      <c r="H19" s="452"/>
      <c r="I19" s="452"/>
      <c r="J19" s="452"/>
      <c r="K19" s="452"/>
    </row>
    <row r="20" spans="3:11" ht="15" customHeight="1">
      <c r="C20" s="184">
        <v>2</v>
      </c>
      <c r="D20" s="452" t="s">
        <v>713</v>
      </c>
      <c r="E20" s="452"/>
      <c r="F20" s="452"/>
      <c r="G20" s="452"/>
      <c r="H20" s="452"/>
      <c r="I20" s="452"/>
      <c r="J20" s="452"/>
      <c r="K20" s="452"/>
    </row>
    <row r="21" spans="3:11" ht="15" customHeight="1">
      <c r="C21" s="184"/>
      <c r="D21" s="452"/>
      <c r="E21" s="452"/>
      <c r="F21" s="452"/>
      <c r="G21" s="452"/>
      <c r="H21" s="452"/>
      <c r="I21" s="452"/>
      <c r="J21" s="452"/>
      <c r="K21" s="452"/>
    </row>
    <row r="22" spans="3:11" ht="7.5" customHeight="1">
      <c r="C22" s="186"/>
      <c r="D22" s="452"/>
      <c r="E22" s="452"/>
      <c r="F22" s="452"/>
      <c r="G22" s="452"/>
      <c r="H22" s="452"/>
      <c r="I22" s="452"/>
      <c r="J22" s="452"/>
      <c r="K22" s="452"/>
    </row>
    <row r="23" spans="3:11" ht="15" customHeight="1">
      <c r="C23" s="184">
        <v>3</v>
      </c>
      <c r="D23" s="452" t="s">
        <v>714</v>
      </c>
      <c r="E23" s="452"/>
      <c r="F23" s="452"/>
      <c r="G23" s="452"/>
      <c r="H23" s="452"/>
      <c r="I23" s="452"/>
      <c r="J23" s="452"/>
      <c r="K23" s="452"/>
    </row>
    <row r="24" spans="3:11" ht="15" customHeight="1">
      <c r="D24" s="452"/>
      <c r="E24" s="452"/>
      <c r="F24" s="452"/>
      <c r="G24" s="452"/>
      <c r="H24" s="452"/>
      <c r="I24" s="452"/>
      <c r="J24" s="452"/>
      <c r="K24" s="452"/>
    </row>
    <row r="25" spans="3:11" ht="12.6" customHeight="1">
      <c r="D25" s="452"/>
      <c r="E25" s="452"/>
      <c r="F25" s="452"/>
      <c r="G25" s="452"/>
      <c r="H25" s="452"/>
      <c r="I25" s="452"/>
      <c r="J25" s="452"/>
      <c r="K25" s="452"/>
    </row>
    <row r="26" spans="3:11" ht="9" customHeight="1">
      <c r="D26" s="452"/>
      <c r="E26" s="452"/>
      <c r="F26" s="452"/>
      <c r="G26" s="452"/>
      <c r="H26" s="452"/>
      <c r="I26" s="452"/>
      <c r="J26" s="452"/>
      <c r="K26" s="452"/>
    </row>
    <row r="27" spans="3:11" ht="15" customHeight="1">
      <c r="C27" s="184">
        <v>4</v>
      </c>
      <c r="D27" s="452" t="s">
        <v>715</v>
      </c>
      <c r="E27" s="452"/>
      <c r="F27" s="452"/>
      <c r="G27" s="452"/>
      <c r="H27" s="452"/>
      <c r="I27" s="452"/>
      <c r="J27" s="452"/>
      <c r="K27" s="452"/>
    </row>
    <row r="28" spans="3:11" ht="15" customHeight="1">
      <c r="C28" s="184"/>
      <c r="D28" s="452"/>
      <c r="E28" s="452"/>
      <c r="F28" s="452"/>
      <c r="G28" s="452"/>
      <c r="H28" s="452"/>
      <c r="I28" s="452"/>
      <c r="J28" s="452"/>
      <c r="K28" s="452"/>
    </row>
    <row r="29" spans="3:11" ht="15" customHeight="1">
      <c r="C29" s="184"/>
      <c r="D29" s="452"/>
      <c r="E29" s="452"/>
      <c r="F29" s="452"/>
      <c r="G29" s="452"/>
      <c r="H29" s="452"/>
      <c r="I29" s="452"/>
      <c r="J29" s="452"/>
      <c r="K29" s="452"/>
    </row>
    <row r="30" spans="3:11" ht="15" customHeight="1">
      <c r="D30" s="452"/>
      <c r="E30" s="452"/>
      <c r="F30" s="452"/>
      <c r="G30" s="452"/>
      <c r="H30" s="452"/>
      <c r="I30" s="452"/>
      <c r="J30" s="452"/>
      <c r="K30" s="452"/>
    </row>
    <row r="31" spans="3:11" ht="11.25" customHeight="1"/>
    <row r="32" spans="3:11" ht="18.75" customHeight="1">
      <c r="C32" s="453" t="s">
        <v>716</v>
      </c>
      <c r="D32" s="453"/>
      <c r="E32" s="453"/>
      <c r="F32" s="453"/>
      <c r="G32" s="453"/>
      <c r="H32" s="453"/>
      <c r="I32" s="453"/>
      <c r="J32" s="453"/>
      <c r="K32" s="453"/>
    </row>
    <row r="33" spans="3:11" ht="18.75" customHeight="1">
      <c r="C33" s="473" t="s">
        <v>717</v>
      </c>
      <c r="D33" s="473"/>
      <c r="E33" s="473"/>
      <c r="F33" s="473"/>
      <c r="G33" s="473"/>
      <c r="H33" s="473"/>
      <c r="I33" s="473"/>
      <c r="J33" s="473"/>
      <c r="K33" s="473"/>
    </row>
    <row r="34" spans="3:11" ht="7.5" customHeight="1">
      <c r="C34" s="183"/>
      <c r="D34" s="183"/>
      <c r="E34" s="183"/>
      <c r="F34" s="183"/>
      <c r="G34" s="183"/>
      <c r="H34" s="183"/>
      <c r="I34" s="183"/>
      <c r="J34" s="183"/>
      <c r="K34" s="183"/>
    </row>
    <row r="35" spans="3:11" ht="15" customHeight="1">
      <c r="C35" s="183"/>
      <c r="D35" s="454" t="s">
        <v>718</v>
      </c>
      <c r="E35" s="454"/>
      <c r="F35" s="454"/>
      <c r="G35" s="454"/>
      <c r="H35" s="454"/>
      <c r="I35" s="454"/>
      <c r="J35" s="454"/>
      <c r="K35" s="454"/>
    </row>
    <row r="36" spans="3:11" ht="15" customHeight="1">
      <c r="C36" s="183"/>
      <c r="D36" s="454"/>
      <c r="E36" s="454"/>
      <c r="F36" s="454"/>
      <c r="G36" s="454"/>
      <c r="H36" s="454"/>
      <c r="I36" s="454"/>
      <c r="J36" s="454"/>
      <c r="K36" s="454"/>
    </row>
    <row r="37" spans="3:11" ht="15" customHeight="1">
      <c r="C37" s="183"/>
      <c r="D37" s="454"/>
      <c r="E37" s="454"/>
      <c r="F37" s="454"/>
      <c r="G37" s="454"/>
      <c r="H37" s="454"/>
      <c r="I37" s="454"/>
      <c r="J37" s="454"/>
      <c r="K37" s="454"/>
    </row>
    <row r="38" spans="3:11" ht="4.5" customHeight="1">
      <c r="C38" s="183"/>
      <c r="D38" s="183"/>
      <c r="E38" s="183"/>
      <c r="F38" s="183"/>
      <c r="G38" s="183"/>
      <c r="H38" s="183"/>
      <c r="I38" s="183"/>
      <c r="J38" s="183"/>
      <c r="K38" s="183"/>
    </row>
    <row r="39" spans="3:11" ht="18.75" customHeight="1">
      <c r="C39" s="455" t="s">
        <v>719</v>
      </c>
      <c r="D39" s="455"/>
      <c r="E39" s="455"/>
      <c r="F39" s="455"/>
      <c r="G39" s="455"/>
      <c r="H39" s="455"/>
      <c r="I39" s="455"/>
      <c r="J39" s="455"/>
      <c r="K39" s="455"/>
    </row>
    <row r="40" spans="3:11" ht="7.5" customHeight="1">
      <c r="C40" s="183"/>
      <c r="D40" s="183"/>
      <c r="E40" s="183"/>
      <c r="F40" s="183"/>
      <c r="G40" s="183"/>
      <c r="H40" s="183"/>
      <c r="I40" s="183"/>
      <c r="J40" s="183"/>
      <c r="K40" s="183"/>
    </row>
    <row r="41" spans="3:11" ht="15" customHeight="1">
      <c r="C41" s="183"/>
      <c r="D41" s="399" t="s">
        <v>720</v>
      </c>
      <c r="E41" s="399"/>
      <c r="F41" s="399"/>
      <c r="G41" s="399"/>
      <c r="H41" s="399"/>
      <c r="I41" s="399"/>
      <c r="J41" s="399"/>
      <c r="K41" s="399"/>
    </row>
    <row r="42" spans="3:11" ht="15" customHeight="1">
      <c r="C42" s="183"/>
      <c r="D42" s="399"/>
      <c r="E42" s="399"/>
      <c r="F42" s="399"/>
      <c r="G42" s="399"/>
      <c r="H42" s="399"/>
      <c r="I42" s="399"/>
      <c r="J42" s="399"/>
      <c r="K42" s="399"/>
    </row>
    <row r="43" spans="3:11" ht="15" customHeight="1">
      <c r="C43" s="183"/>
      <c r="D43" s="399"/>
      <c r="E43" s="399"/>
      <c r="F43" s="399"/>
      <c r="G43" s="399"/>
      <c r="H43" s="399"/>
      <c r="I43" s="399"/>
      <c r="J43" s="399"/>
      <c r="K43" s="399"/>
    </row>
    <row r="44" spans="3:11" ht="8.1" customHeight="1">
      <c r="C44" s="183"/>
      <c r="D44" s="183"/>
      <c r="E44" s="183"/>
      <c r="F44" s="183"/>
      <c r="G44" s="183"/>
      <c r="H44" s="183"/>
      <c r="I44" s="183"/>
      <c r="J44" s="183"/>
      <c r="K44" s="183"/>
    </row>
    <row r="45" spans="3:11" ht="18.75" customHeight="1">
      <c r="C45" s="453" t="s">
        <v>721</v>
      </c>
      <c r="D45" s="453"/>
      <c r="E45" s="453"/>
      <c r="F45" s="453"/>
      <c r="G45" s="453"/>
      <c r="H45" s="453"/>
      <c r="I45" s="188"/>
      <c r="J45" s="188"/>
      <c r="K45" s="188"/>
    </row>
    <row r="46" spans="3:11" ht="15" customHeight="1">
      <c r="C46" s="187"/>
      <c r="D46" s="451" t="s">
        <v>722</v>
      </c>
      <c r="E46" s="451"/>
      <c r="F46" s="451"/>
      <c r="G46" s="451"/>
      <c r="H46" s="451"/>
      <c r="I46" s="451"/>
      <c r="J46" s="451"/>
      <c r="K46" s="451"/>
    </row>
    <row r="47" spans="3:11" ht="15" customHeight="1">
      <c r="C47" s="187"/>
      <c r="D47" s="451"/>
      <c r="E47" s="451"/>
      <c r="F47" s="451"/>
      <c r="G47" s="451"/>
      <c r="H47" s="451"/>
      <c r="I47" s="451"/>
      <c r="J47" s="451"/>
      <c r="K47" s="451"/>
    </row>
    <row r="48" spans="3:11" ht="33" customHeight="1">
      <c r="C48" s="187"/>
      <c r="D48" s="451"/>
      <c r="E48" s="451"/>
      <c r="F48" s="451"/>
      <c r="G48" s="451"/>
      <c r="H48" s="451"/>
      <c r="I48" s="451"/>
      <c r="J48" s="451"/>
      <c r="K48" s="451"/>
    </row>
    <row r="49" spans="3:11" ht="18.75" customHeight="1">
      <c r="D49" s="450" t="s">
        <v>723</v>
      </c>
      <c r="E49" s="450"/>
      <c r="F49" s="450"/>
    </row>
    <row r="50" spans="3:11" ht="18.75" customHeight="1">
      <c r="C50" s="187"/>
      <c r="G50" s="187"/>
      <c r="H50" s="187"/>
      <c r="I50" s="187"/>
      <c r="J50" s="187"/>
      <c r="K50" s="187"/>
    </row>
    <row r="51" spans="3:11" ht="18.75" customHeight="1">
      <c r="C51" s="187"/>
      <c r="D51" s="187"/>
      <c r="E51" s="187"/>
      <c r="F51" s="187"/>
      <c r="G51" s="187"/>
      <c r="H51" s="187"/>
      <c r="I51" s="187"/>
      <c r="J51" s="187"/>
      <c r="K51" s="187"/>
    </row>
    <row r="52" spans="3:11" ht="18.75" customHeight="1"/>
    <row r="53" spans="3:11"/>
  </sheetData>
  <mergeCells count="20">
    <mergeCell ref="D11:K12"/>
    <mergeCell ref="C2:K2"/>
    <mergeCell ref="C3:H3"/>
    <mergeCell ref="C8:H8"/>
    <mergeCell ref="C4:K7"/>
    <mergeCell ref="D9:K10"/>
    <mergeCell ref="D49:F49"/>
    <mergeCell ref="D46:K48"/>
    <mergeCell ref="D23:K26"/>
    <mergeCell ref="D14:K14"/>
    <mergeCell ref="C16:H16"/>
    <mergeCell ref="D17:K19"/>
    <mergeCell ref="D20:K22"/>
    <mergeCell ref="D41:K43"/>
    <mergeCell ref="C45:H45"/>
    <mergeCell ref="D27:K30"/>
    <mergeCell ref="C32:K32"/>
    <mergeCell ref="C33:K33"/>
    <mergeCell ref="D35:K37"/>
    <mergeCell ref="C39:K39"/>
  </mergeCells>
  <hyperlinks>
    <hyperlink ref="D49" r:id="rId1" display="https://aka.ms/OrcaData" xr:uid="{20D35D7D-919F-475E-8D6B-44A931440A4E}"/>
  </hyperlinks>
  <pageMargins left="0.7" right="0.7" top="0.75" bottom="0.75" header="0.3" footer="0.3"/>
  <pageSetup orientation="portrait" verticalDpi="300"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18E9A87F33DDDF47B4034F7640DF5146" ma:contentTypeVersion="46" ma:contentTypeDescription="Create a new document." ma:contentTypeScope="" ma:versionID="7bdc0c808ff8eaad8fdcdee3a4d51c84">
  <xsd:schema xmlns:xsd="http://www.w3.org/2001/XMLSchema" xmlns:xs="http://www.w3.org/2001/XMLSchema" xmlns:p="http://schemas.microsoft.com/office/2006/metadata/properties" xmlns:ns1="http://schemas.microsoft.com/sharepoint/v3" xmlns:ns2="8978a658-3d11-4a81-97af-d5b56c1fb361" xmlns:ns3="2e7b7dd0-ff9e-4fdf-9289-16a7cf533cc2" targetNamespace="http://schemas.microsoft.com/office/2006/metadata/properties" ma:root="true" ma:fieldsID="4741e605d6ec3bab21d9e628b08cb5c5" ns1:_="" ns2:_="" ns3:_="">
    <xsd:import namespace="http://schemas.microsoft.com/sharepoint/v3"/>
    <xsd:import namespace="8978a658-3d11-4a81-97af-d5b56c1fb361"/>
    <xsd:import namespace="2e7b7dd0-ff9e-4fdf-9289-16a7cf533cc2"/>
    <xsd:element name="properties">
      <xsd:complexType>
        <xsd:sequence>
          <xsd:element name="documentManagement">
            <xsd:complexType>
              <xsd:all>
                <xsd:element ref="ns2:Notes_x0020_" minOccurs="0"/>
                <xsd:element ref="ns2:Sythesized_x0020_into_x0020_writeup_x003f_" minOccurs="0"/>
                <xsd:element ref="ns2:MediaServiceKeyPoints" minOccurs="0"/>
                <xsd:element ref="ns2:Details" minOccurs="0"/>
                <xsd:element ref="ns2:Industry" minOccurs="0"/>
                <xsd:element ref="ns2:Segment" minOccurs="0"/>
                <xsd:element ref="ns2:QFE" minOccurs="0"/>
                <xsd:element ref="ns2:test0" minOccurs="0"/>
                <xsd:element ref="ns2:Test" minOccurs="0"/>
                <xsd:element ref="ns2:Test2" minOccurs="0"/>
                <xsd:element ref="ns2:Test3" minOccurs="0"/>
                <xsd:element ref="ns2:dptest" minOccurs="0"/>
                <xsd:element ref="ns2:MediaServiceFastMetadata" minOccurs="0"/>
                <xsd:element ref="ns2:MediaServiceAutoTags" minOccurs="0"/>
                <xsd:element ref="ns2:MediaServiceDateTaken" minOccurs="0"/>
                <xsd:element ref="ns2:MediaServiceOCR" minOccurs="0"/>
                <xsd:element ref="ns2:MediaServiceLocation" minOccurs="0"/>
                <xsd:element ref="ns1:_ip_UnifiedCompliancePolicyUIAction" minOccurs="0"/>
                <xsd:element ref="ns3:LastSharedByUser" minOccurs="0"/>
                <xsd:element ref="ns3:LastSharedByTime" minOccurs="0"/>
                <xsd:element ref="ns2:Test3_x003a_Column4" minOccurs="0"/>
                <xsd:element ref="ns2:Test3_x003a_Column6" minOccurs="0"/>
                <xsd:element ref="ns2:Test3_x003a_Compliance_x0020_Asset_x0020_Id" minOccurs="0"/>
                <xsd:element ref="ns2:MediaServiceEventHashCode" minOccurs="0"/>
                <xsd:element ref="ns2:MediaServiceGenerationTime" minOccurs="0"/>
                <xsd:element ref="ns2:MediaServiceAutoKeyPoints" minOccurs="0"/>
                <xsd:element ref="ns2:MediaLengthInSeconds" minOccurs="0"/>
                <xsd:element ref="ns3:SharedWithUsers" minOccurs="0"/>
                <xsd:element ref="ns3:SharedWithDetails" minOccurs="0"/>
                <xsd:element ref="ns2:lcf76f155ced4ddcb4097134ff3c332f" minOccurs="0"/>
                <xsd:element ref="ns1:_ip_UnifiedCompliancePolicyProperties" minOccurs="0"/>
                <xsd:element ref="ns2:MediaServiceMetadata" minOccurs="0"/>
                <xsd:element ref="ns2:Choice" minOccurs="0"/>
                <xsd:element ref="ns2:MediaServiceSearchProperties" minOccurs="0"/>
                <xsd:element ref="ns2:MediaServiceDocTags" minOccurs="0"/>
                <xsd:element ref="ns2:MediaServiceObjectDetectorVersions" minOccurs="0"/>
                <xsd:element ref="ns2:MediaServiceSystemTags" minOccurs="0"/>
                <xsd:element ref="ns2:Comment"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_ip_UnifiedCompliancePolicyUIAction" ma:index="20" nillable="true" ma:displayName="Unified Compliance Policy UI Action" ma:description="" ma:hidden="true" ma:internalName="_ip_UnifiedCompliancePolicyUIAction" ma:readOnly="false">
      <xsd:simpleType>
        <xsd:restriction base="dms:Text"/>
      </xsd:simpleType>
    </xsd:element>
    <xsd:element name="_ip_UnifiedCompliancePolicyProperties" ma:index="39" nillable="true" ma:displayName="Unified Compliance Policy Properties" ma:description="" ma:hidden="true" ma:internalName="_ip_UnifiedCompliancePolicyProperties" ma:readOnly="fals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8978a658-3d11-4a81-97af-d5b56c1fb361" elementFormDefault="qualified">
    <xsd:import namespace="http://schemas.microsoft.com/office/2006/documentManagement/types"/>
    <xsd:import namespace="http://schemas.microsoft.com/office/infopath/2007/PartnerControls"/>
    <xsd:element name="Notes_x0020_" ma:index="2" nillable="true" ma:displayName="Notes " ma:format="Dropdown" ma:internalName="Notes_x0020_" ma:readOnly="false">
      <xsd:simpleType>
        <xsd:restriction base="dms:Note">
          <xsd:maxLength value="255"/>
        </xsd:restriction>
      </xsd:simpleType>
    </xsd:element>
    <xsd:element name="Sythesized_x0020_into_x0020_writeup_x003f_" ma:index="3" nillable="true" ma:displayName="Sythesized into writeup?" ma:default="1" ma:description="For John" ma:format="Dropdown" ma:internalName="Sythesized_x0020_into_x0020_writeup_x003f_" ma:readOnly="false">
      <xsd:simpleType>
        <xsd:restriction base="dms:Boolean"/>
      </xsd:simpleType>
    </xsd:element>
    <xsd:element name="MediaServiceKeyPoints" ma:index="4" nillable="true" ma:displayName="KeyPoints" ma:internalName="MediaServiceKeyPoints" ma:readOnly="false">
      <xsd:simpleType>
        <xsd:restriction base="dms:Note">
          <xsd:maxLength value="255"/>
        </xsd:restriction>
      </xsd:simpleType>
    </xsd:element>
    <xsd:element name="Details" ma:index="5" nillable="true" ma:displayName="Details" ma:format="Dropdown" ma:internalName="Details" ma:readOnly="false">
      <xsd:simpleType>
        <xsd:restriction base="dms:Note">
          <xsd:maxLength value="255"/>
        </xsd:restriction>
      </xsd:simpleType>
    </xsd:element>
    <xsd:element name="Industry" ma:index="6" nillable="true" ma:displayName="Industry" ma:internalName="Industry" ma:readOnly="false">
      <xsd:complexType>
        <xsd:complexContent>
          <xsd:extension base="dms:MultiChoiceFillIn">
            <xsd:sequence>
              <xsd:element name="Value" maxOccurs="unbounded" minOccurs="0" nillable="true">
                <xsd:simpleType>
                  <xsd:union memberTypes="dms:Text">
                    <xsd:simpleType>
                      <xsd:restriction base="dms:Choice">
                        <xsd:enumeration value="Accounting"/>
                        <xsd:enumeration value="Agriculture or Mining"/>
                        <xsd:enumeration value="Association or OtherNon- or Not-for-profit"/>
                        <xsd:enumeration value="Banking"/>
                        <xsd:enumeration value="Construction, Engineering, or Architecture"/>
                        <xsd:enumeration value="Consulting - IT Related"/>
                        <xsd:enumeration value="Consulting - Other"/>
                        <xsd:enumeration value="Digital Media"/>
                        <xsd:enumeration value="Education"/>
                        <xsd:enumeration value="Finance"/>
                        <xsd:enumeration value="Government"/>
                        <xsd:enumeration value="Healthcare (private sector) or Medical"/>
                        <xsd:enumeration value="Hospitality"/>
                        <xsd:enumeration value="Insurance"/>
                        <xsd:enumeration value="LegalServices"/>
                        <xsd:enumeration value="Manufacturing / Distribution"/>
                        <xsd:enumeration value="Market Research"/>
                        <xsd:enumeration value="Marketing, Advertising, PR"/>
                        <xsd:enumeration value="Other"/>
                        <xsd:enumeration value="Petroleum"/>
                        <xsd:enumeration value="Pharmaceuticals"/>
                        <xsd:enumeration value="Printing or Publishing"/>
                        <xsd:enumeration value="Real Estate"/>
                        <xsd:enumeration value="Research&amp; Development"/>
                        <xsd:enumeration value="Retail"/>
                        <xsd:enumeration value="Software Development"/>
                        <xsd:enumeration value="Technology"/>
                        <xsd:enumeration value="Telecommunications"/>
                        <xsd:enumeration value="Traditional Media"/>
                        <xsd:enumeration value="Transportation (Land, Sea, Air)"/>
                        <xsd:enumeration value="Travel &amp; Tourism"/>
                        <xsd:enumeration value="Utilities (Electric, Gas, etc.)"/>
                      </xsd:restriction>
                    </xsd:simpleType>
                  </xsd:union>
                </xsd:simpleType>
              </xsd:element>
            </xsd:sequence>
          </xsd:extension>
        </xsd:complexContent>
      </xsd:complexType>
    </xsd:element>
    <xsd:element name="Segment" ma:index="7" nillable="true" ma:displayName="Segment" ma:internalName="Segment" ma:readOnly="false">
      <xsd:complexType>
        <xsd:complexContent>
          <xsd:extension base="dms:MultiChoice">
            <xsd:sequence>
              <xsd:element name="Value" maxOccurs="unbounded" minOccurs="0" nillable="true">
                <xsd:simpleType>
                  <xsd:restriction base="dms:Choice">
                    <xsd:enumeration value="Full Stack Analyst"/>
                    <xsd:enumeration value="Unsettle Analyst"/>
                    <xsd:enumeration value="Steadfast Excel-er"/>
                    <xsd:enumeration value="&quot;Everyday&quot; Excel User"/>
                    <xsd:enumeration value="Information Gatherer"/>
                  </xsd:restriction>
                </xsd:simpleType>
              </xsd:element>
            </xsd:sequence>
          </xsd:extension>
        </xsd:complexContent>
      </xsd:complexType>
    </xsd:element>
    <xsd:element name="QFE" ma:index="8" nillable="true" ma:displayName="QFE" ma:default="1" ma:format="Dropdown" ma:internalName="QFE" ma:readOnly="false">
      <xsd:simpleType>
        <xsd:restriction base="dms:Boolean"/>
      </xsd:simpleType>
    </xsd:element>
    <xsd:element name="test0" ma:index="10" nillable="true" ma:displayName="test" ma:default="1" ma:format="Dropdown" ma:hidden="true" ma:internalName="test0" ma:readOnly="false">
      <xsd:simpleType>
        <xsd:restriction base="dms:Boolean"/>
      </xsd:simpleType>
    </xsd:element>
    <xsd:element name="Test" ma:index="11" nillable="true" ma:displayName="Test" ma:hidden="true" ma:list="UserInfo" ma:SharePointGroup="0" ma:internalName="Test" ma:readOnly="false">
      <xsd:complexType>
        <xsd:complexContent>
          <xsd:extension base="dms:User">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Test2" ma:index="12" nillable="true" ma:displayName="Test2" ma:default="1" ma:hidden="true" ma:internalName="Test2" ma:readOnly="false">
      <xsd:simpleType>
        <xsd:restriction base="dms:Boolean"/>
      </xsd:simpleType>
    </xsd:element>
    <xsd:element name="Test3" ma:index="13" nillable="true" ma:displayName="Test3" ma:hidden="true" ma:list="{56fe87cb-74e0-4ce0-8f5a-8a063749ebbe}" ma:internalName="Test3" ma:readOnly="false" ma:showField="Title">
      <xsd:simpleType>
        <xsd:restriction base="dms:Lookup"/>
      </xsd:simpleType>
    </xsd:element>
    <xsd:element name="dptest" ma:index="14" nillable="true" ma:displayName="dptest" ma:description="Doc Prop Test" ma:hidden="true" ma:internalName="dptest" ma:readOnly="false">
      <xsd:simpleType>
        <xsd:restriction base="dms:Text">
          <xsd:maxLength value="255"/>
        </xsd:restriction>
      </xsd:simpleType>
    </xsd:element>
    <xsd:element name="MediaServiceFastMetadata" ma:index="15" nillable="true" ma:displayName="MediaServiceFastMetadata" ma:description="" ma:hidden="true" ma:internalName="MediaServiceFastMetadata" ma:readOnly="true">
      <xsd:simpleType>
        <xsd:restriction base="dms:Note"/>
      </xsd:simpleType>
    </xsd:element>
    <xsd:element name="MediaServiceAutoTags" ma:index="16" nillable="true" ma:displayName="MediaServiceAutoTags" ma:description="" ma:hidden="true" ma:internalName="MediaServiceAutoTags" ma:readOnly="true">
      <xsd:simpleType>
        <xsd:restriction base="dms:Text"/>
      </xsd:simpleType>
    </xsd:element>
    <xsd:element name="MediaServiceDateTaken" ma:index="17" nillable="true" ma:displayName="MediaServiceDateTaken" ma:description="" ma:hidden="true" ma:internalName="MediaServiceDateTaken" ma:readOnly="true">
      <xsd:simpleType>
        <xsd:restriction base="dms:Text"/>
      </xsd:simpleType>
    </xsd:element>
    <xsd:element name="MediaServiceOCR" ma:index="18" nillable="true" ma:displayName="MediaServiceOCR" ma:description="" ma:hidden="true" ma:internalName="MediaServiceOCR" ma:readOnly="true">
      <xsd:simpleType>
        <xsd:restriction base="dms:Note"/>
      </xsd:simpleType>
    </xsd:element>
    <xsd:element name="MediaServiceLocation" ma:index="19" nillable="true" ma:displayName="MediaServiceLocation" ma:hidden="true" ma:internalName="MediaServiceLocation" ma:readOnly="true">
      <xsd:simpleType>
        <xsd:restriction base="dms:Text"/>
      </xsd:simpleType>
    </xsd:element>
    <xsd:element name="Test3_x003a_Column4" ma:index="23" nillable="true" ma:displayName="Test3:Column4" ma:hidden="true" ma:list="{56fe87cb-74e0-4ce0-8f5a-8a063749ebbe}" ma:internalName="Test3_x003a_Column4" ma:readOnly="true" ma:showField="Column4" ma:web="2e7b7dd0-ff9e-4fdf-9289-16a7cf533cc2">
      <xsd:simpleType>
        <xsd:restriction base="dms:Lookup"/>
      </xsd:simpleType>
    </xsd:element>
    <xsd:element name="Test3_x003a_Column6" ma:index="24" nillable="true" ma:displayName="Test3:Column6" ma:hidden="true" ma:list="{56fe87cb-74e0-4ce0-8f5a-8a063749ebbe}" ma:internalName="Test3_x003a_Column6" ma:readOnly="true" ma:showField="Column6" ma:web="2e7b7dd0-ff9e-4fdf-9289-16a7cf533cc2">
      <xsd:simpleType>
        <xsd:restriction base="dms:Lookup"/>
      </xsd:simpleType>
    </xsd:element>
    <xsd:element name="Test3_x003a_Compliance_x0020_Asset_x0020_Id" ma:index="25" nillable="true" ma:displayName="Test3:Compliance Asset Id" ma:hidden="true" ma:list="{56fe87cb-74e0-4ce0-8f5a-8a063749ebbe}" ma:internalName="Test3_x003a_Compliance_x0020_Asset_x0020_Id" ma:readOnly="true" ma:showField="ComplianceAssetId" ma:web="2e7b7dd0-ff9e-4fdf-9289-16a7cf533cc2">
      <xsd:simpleType>
        <xsd:restriction base="dms:Lookup"/>
      </xsd:simpleType>
    </xsd:element>
    <xsd:element name="MediaServiceEventHashCode" ma:index="26" nillable="true" ma:displayName="MediaServiceEventHashCode" ma:hidden="true" ma:internalName="MediaServiceEventHashCode" ma:readOnly="true">
      <xsd:simpleType>
        <xsd:restriction base="dms:Text"/>
      </xsd:simpleType>
    </xsd:element>
    <xsd:element name="MediaServiceGenerationTime" ma:index="27" nillable="true" ma:displayName="MediaServiceGenerationTime" ma:hidden="true" ma:internalName="MediaServiceGenerationTime" ma:readOnly="true">
      <xsd:simpleType>
        <xsd:restriction base="dms:Text"/>
      </xsd:simpleType>
    </xsd:element>
    <xsd:element name="MediaServiceAutoKeyPoints" ma:index="30" nillable="true" ma:displayName="MediaServiceAutoKeyPoints" ma:hidden="true" ma:internalName="MediaServiceAutoKeyPoints" ma:readOnly="true">
      <xsd:simpleType>
        <xsd:restriction base="dms:Note"/>
      </xsd:simpleType>
    </xsd:element>
    <xsd:element name="MediaLengthInSeconds" ma:index="35" nillable="true" ma:displayName="Length (seconds)" ma:hidden="true" ma:internalName="MediaLengthInSeconds" ma:readOnly="true">
      <xsd:simpleType>
        <xsd:restriction base="dms:Unknown"/>
      </xsd:simpleType>
    </xsd:element>
    <xsd:element name="lcf76f155ced4ddcb4097134ff3c332f" ma:index="38" nillable="true" ma:taxonomy="true" ma:internalName="lcf76f155ced4ddcb4097134ff3c332f" ma:taxonomyFieldName="MediaServiceImageTags" ma:displayName="Image Tags" ma:readOnly="false" ma:fieldId="{5cf76f15-5ced-4ddc-b409-7134ff3c332f}" ma:taxonomyMulti="true" ma:sspId="e385fb40-52d4-4fae-9c5b-3e8ff8a5878e" ma:termSetId="09814cd3-568e-fe90-9814-8d621ff8fb84" ma:anchorId="fba54fb3-c3e1-fe81-a776-ca4b69148c4d" ma:open="true" ma:isKeyword="false">
      <xsd:complexType>
        <xsd:sequence>
          <xsd:element ref="pc:Terms" minOccurs="0" maxOccurs="1"/>
        </xsd:sequence>
      </xsd:complexType>
    </xsd:element>
    <xsd:element name="MediaServiceMetadata" ma:index="40" nillable="true" ma:displayName="MediaServiceMetadata" ma:description="" ma:hidden="true" ma:internalName="MediaServiceMetadata" ma:readOnly="true">
      <xsd:simpleType>
        <xsd:restriction base="dms:Note"/>
      </xsd:simpleType>
    </xsd:element>
    <xsd:element name="Choice" ma:index="41" nillable="true" ma:displayName="Choice" ma:default="0" ma:format="Dropdown" ma:internalName="Choice">
      <xsd:simpleType>
        <xsd:restriction base="dms:Boolean"/>
      </xsd:simpleType>
    </xsd:element>
    <xsd:element name="MediaServiceSearchProperties" ma:index="42" nillable="true" ma:displayName="MediaServiceSearchProperties" ma:hidden="true" ma:internalName="MediaServiceSearchProperties" ma:readOnly="true">
      <xsd:simpleType>
        <xsd:restriction base="dms:Note"/>
      </xsd:simpleType>
    </xsd:element>
    <xsd:element name="MediaServiceDocTags" ma:index="43" nillable="true" ma:displayName="MediaServiceDocTags" ma:hidden="true" ma:internalName="MediaServiceDocTags" ma:readOnly="true">
      <xsd:simpleType>
        <xsd:restriction base="dms:Note"/>
      </xsd:simpleType>
    </xsd:element>
    <xsd:element name="MediaServiceObjectDetectorVersions" ma:index="44" nillable="true" ma:displayName="MediaServiceObjectDetectorVersions" ma:description="" ma:hidden="true" ma:indexed="true" ma:internalName="MediaServiceObjectDetectorVersions" ma:readOnly="true">
      <xsd:simpleType>
        <xsd:restriction base="dms:Text"/>
      </xsd:simpleType>
    </xsd:element>
    <xsd:element name="MediaServiceSystemTags" ma:index="45" nillable="true" ma:displayName="MediaServiceSystemTags" ma:hidden="true" ma:internalName="MediaServiceSystemTags" ma:readOnly="true">
      <xsd:simpleType>
        <xsd:restriction base="dms:Note"/>
      </xsd:simpleType>
    </xsd:element>
    <xsd:element name="Comment" ma:index="46" nillable="true" ma:displayName="Comment" ma:format="Dropdown" ma:internalName="Comment">
      <xsd:simpleType>
        <xsd:restriction base="dms:Text">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2e7b7dd0-ff9e-4fdf-9289-16a7cf533cc2" elementFormDefault="qualified">
    <xsd:import namespace="http://schemas.microsoft.com/office/2006/documentManagement/types"/>
    <xsd:import namespace="http://schemas.microsoft.com/office/infopath/2007/PartnerControls"/>
    <xsd:element name="LastSharedByUser" ma:index="21" nillable="true" ma:displayName="Last Shared By User" ma:description="" ma:hidden="true" ma:internalName="LastSharedByUser" ma:readOnly="true">
      <xsd:simpleType>
        <xsd:restriction base="dms:Note"/>
      </xsd:simpleType>
    </xsd:element>
    <xsd:element name="LastSharedByTime" ma:index="22" nillable="true" ma:displayName="Last Shared By Time" ma:description="" ma:hidden="true" ma:internalName="LastSharedByTime" ma:readOnly="true">
      <xsd:simpleType>
        <xsd:restriction base="dms:DateTime"/>
      </xsd:simpleType>
    </xsd:element>
    <xsd:element name="SharedWithUsers" ma:index="36" nillable="true" ma:displayName="Shared With" ma:description="" ma:hidden="true"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37" nillable="true" ma:displayName="Shared With Details" ma:description="" ma:hidden="true" ma:internalName="SharedWithDetails" ma:readOnly="true">
      <xsd:simpleType>
        <xsd:restriction base="dms:Note"/>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displayName="Content Type"/>
        <xsd:element ref="dc:title" minOccurs="0" maxOccurs="1" ma:index="1"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_ip_UnifiedCompliancePolicyUIAction xmlns="http://schemas.microsoft.com/sharepoint/v3" xsi:nil="true"/>
    <Test3 xmlns="8978a658-3d11-4a81-97af-d5b56c1fb361" xsi:nil="true"/>
    <Notes_x0020_ xmlns="8978a658-3d11-4a81-97af-d5b56c1fb361" xsi:nil="true"/>
    <Test2 xmlns="8978a658-3d11-4a81-97af-d5b56c1fb361">true</Test2>
    <Details xmlns="8978a658-3d11-4a81-97af-d5b56c1fb361" xsi:nil="true"/>
    <dptest xmlns="8978a658-3d11-4a81-97af-d5b56c1fb361" xsi:nil="true"/>
    <Choice xmlns="8978a658-3d11-4a81-97af-d5b56c1fb361">false</Choice>
    <Sythesized_x0020_into_x0020_writeup_x003f_ xmlns="8978a658-3d11-4a81-97af-d5b56c1fb361">true</Sythesized_x0020_into_x0020_writeup_x003f_>
    <MediaServiceKeyPoints xmlns="8978a658-3d11-4a81-97af-d5b56c1fb361" xsi:nil="true"/>
    <_ip_UnifiedCompliancePolicyProperties xmlns="http://schemas.microsoft.com/sharepoint/v3" xsi:nil="true"/>
    <test0 xmlns="8978a658-3d11-4a81-97af-d5b56c1fb361">true</test0>
    <QFE xmlns="8978a658-3d11-4a81-97af-d5b56c1fb361">true</QFE>
    <Test xmlns="8978a658-3d11-4a81-97af-d5b56c1fb361">
      <UserInfo>
        <DisplayName/>
        <AccountId xsi:nil="true"/>
        <AccountType/>
      </UserInfo>
    </Test>
    <lcf76f155ced4ddcb4097134ff3c332f xmlns="8978a658-3d11-4a81-97af-d5b56c1fb361">
      <Terms xmlns="http://schemas.microsoft.com/office/infopath/2007/PartnerControls"/>
    </lcf76f155ced4ddcb4097134ff3c332f>
    <Industry xmlns="8978a658-3d11-4a81-97af-d5b56c1fb361" xsi:nil="true"/>
    <Segment xmlns="8978a658-3d11-4a81-97af-d5b56c1fb361" xsi:nil="true"/>
    <Comment xmlns="8978a658-3d11-4a81-97af-d5b56c1fb361" xsi:nil="true"/>
  </documentManagement>
</p:properties>
</file>

<file path=customXml/item4.xml>�� 
</file>

<file path=customXml/itemProps1.xml><?xml version="1.0" encoding="utf-8"?>
<ds:datastoreItem xmlns:ds="http://schemas.openxmlformats.org/officeDocument/2006/customXml" ds:itemID="{C5DB24D2-6527-4EB4-A80B-EC36406C089B}"/>
</file>

<file path=customXml/itemProps2.xml><?xml version="1.0" encoding="utf-8"?>
<ds:datastoreItem xmlns:ds="http://schemas.openxmlformats.org/officeDocument/2006/customXml" ds:itemID="{CC408D51-B6B0-4E20-BAFF-3F0A02C68484}"/>
</file>

<file path=customXml/itemProps3.xml><?xml version="1.0" encoding="utf-8"?>
<ds:datastoreItem xmlns:ds="http://schemas.openxmlformats.org/officeDocument/2006/customXml" ds:itemID="{261F092C-AD5F-4F84-83D4-230931946A66}"/>
</file>

<file path=customXml/itemProps4.xml><?xml version="1.0" encoding="utf-8"?>
<ds:datastoreItem xmlns:ds="http://schemas.openxmlformats.org/officeDocument/2006/customXml" ds:itemID="{04D5B6E8-5185-407B-8268-AE6D93AE7CF0}"/>
</file>

<file path=docMetadata/LabelInfo.xml><?xml version="1.0" encoding="utf-8"?>
<clbl:labelList xmlns:clbl="http://schemas.microsoft.com/office/2020/mipLabelMetadata">
  <clbl:label id="{f42aa342-8706-4288-bd11-ebb85995028c}" enabled="1" method="Standard" siteId="{72f988bf-86f1-41af-91ab-2d7cd011db47}" removed="0"/>
</clbl:labelList>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Jeff C</dc:creator>
  <cp:keywords/>
  <dc:description/>
  <cp:lastModifiedBy/>
  <cp:revision/>
  <dcterms:created xsi:type="dcterms:W3CDTF">2021-04-08T14:56:38Z</dcterms:created>
  <dcterms:modified xsi:type="dcterms:W3CDTF">2025-02-02T23:47:54Z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0x01010018E9A87F33DDDF47B4034F7640DF5146</vt:lpwstr>
  </property>
  <property fmtid="{D5CDD505-2E9C-101B-9397-08002B2CF9AE}" pid="3" name="MediaServiceImageTags">
    <vt:lpwstr/>
  </property>
  <property fmtid="{D5CDD505-2E9C-101B-9397-08002B2CF9AE}" pid="4" name="j1ddeb2b0f824d21b6864f26ba9a3bed">
    <vt:lpwstr/>
  </property>
  <property fmtid="{D5CDD505-2E9C-101B-9397-08002B2CF9AE}" pid="5" name="TaxCatchAll">
    <vt:lpwstr/>
  </property>
  <property fmtid="{D5CDD505-2E9C-101B-9397-08002B2CF9AE}" pid="6" name="Country">
    <vt:lpwstr/>
  </property>
</Properties>
</file>